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20" windowWidth="11715" windowHeight="9810"/>
  </bookViews>
  <sheets>
    <sheet name="Steuerung" sheetId="1" r:id="rId1"/>
    <sheet name="Berechnungen" sheetId="2" r:id="rId2"/>
    <sheet name="Soll-Ist" sheetId="4" r:id="rId3"/>
    <sheet name="Grafik" sheetId="3" r:id="rId4"/>
    <sheet name="Selbstkosten" sheetId="5" r:id="rId5"/>
  </sheets>
  <calcPr calcId="145621"/>
</workbook>
</file>

<file path=xl/calcChain.xml><?xml version="1.0" encoding="utf-8"?>
<calcChain xmlns="http://schemas.openxmlformats.org/spreadsheetml/2006/main"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8" i="4"/>
  <c r="D6" i="2" l="1"/>
  <c r="D5" i="2"/>
  <c r="C13" i="5" l="1"/>
  <c r="C11" i="5"/>
  <c r="B8" i="4"/>
  <c r="C12" i="2"/>
  <c r="C10" i="4" s="1"/>
  <c r="C28" i="2"/>
  <c r="C26" i="4" s="1"/>
  <c r="B3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27" i="4" s="1"/>
  <c r="D20" i="1"/>
  <c r="C13" i="2" s="1"/>
  <c r="C11" i="4" s="1"/>
  <c r="C20" i="1"/>
  <c r="E13" i="1"/>
  <c r="E14" i="1"/>
  <c r="E15" i="1"/>
  <c r="E16" i="1"/>
  <c r="E17" i="1"/>
  <c r="E18" i="1"/>
  <c r="E19" i="1"/>
  <c r="E12" i="1"/>
  <c r="C14" i="5" l="1"/>
  <c r="C22" i="2"/>
  <c r="C20" i="4" s="1"/>
  <c r="C20" i="2"/>
  <c r="C18" i="4" s="1"/>
  <c r="C30" i="2"/>
  <c r="C28" i="4" s="1"/>
  <c r="C14" i="2"/>
  <c r="C12" i="4" s="1"/>
  <c r="C24" i="2"/>
  <c r="C22" i="4" s="1"/>
  <c r="C16" i="2"/>
  <c r="C14" i="4" s="1"/>
  <c r="C26" i="2"/>
  <c r="C24" i="4" s="1"/>
  <c r="C18" i="2"/>
  <c r="C16" i="4" s="1"/>
  <c r="E20" i="1"/>
  <c r="C10" i="2"/>
  <c r="C8" i="4" s="1"/>
  <c r="C27" i="2"/>
  <c r="C25" i="4" s="1"/>
  <c r="C23" i="2"/>
  <c r="C21" i="4" s="1"/>
  <c r="C19" i="2"/>
  <c r="C17" i="4" s="1"/>
  <c r="C15" i="2"/>
  <c r="C13" i="4" s="1"/>
  <c r="C11" i="2"/>
  <c r="C9" i="4" s="1"/>
  <c r="C29" i="2"/>
  <c r="C27" i="4" s="1"/>
  <c r="C25" i="2"/>
  <c r="C23" i="4" s="1"/>
  <c r="C21" i="2"/>
  <c r="C19" i="4" s="1"/>
  <c r="C17" i="2"/>
  <c r="C15" i="4" s="1"/>
  <c r="D4" i="2"/>
  <c r="H6" i="2" s="1"/>
  <c r="C15" i="5" s="1"/>
  <c r="I6" i="2"/>
  <c r="F13" i="2" s="1"/>
  <c r="G13" i="2" s="1"/>
  <c r="H13" i="2" s="1"/>
  <c r="E11" i="4" s="1"/>
  <c r="B26" i="4"/>
  <c r="B22" i="4"/>
  <c r="B18" i="4"/>
  <c r="B14" i="4"/>
  <c r="B10" i="4"/>
  <c r="B25" i="4"/>
  <c r="B21" i="4"/>
  <c r="B17" i="4"/>
  <c r="B13" i="4"/>
  <c r="B9" i="4"/>
  <c r="B24" i="4"/>
  <c r="B20" i="4"/>
  <c r="B16" i="4"/>
  <c r="B12" i="4"/>
  <c r="B23" i="4"/>
  <c r="B19" i="4"/>
  <c r="B15" i="4"/>
  <c r="B11" i="4"/>
  <c r="B28" i="4"/>
  <c r="C12" i="5"/>
  <c r="C20" i="5" s="1"/>
  <c r="F12" i="2"/>
  <c r="G12" i="2" s="1"/>
  <c r="H12" i="2" s="1"/>
  <c r="E10" i="4" s="1"/>
  <c r="M22" i="4" l="1"/>
  <c r="M15" i="4"/>
  <c r="C16" i="5"/>
  <c r="C23" i="5" s="1"/>
  <c r="F17" i="2"/>
  <c r="G17" i="2" s="1"/>
  <c r="H17" i="2" s="1"/>
  <c r="E15" i="4" s="1"/>
  <c r="F14" i="2"/>
  <c r="G14" i="2" s="1"/>
  <c r="H14" i="2" s="1"/>
  <c r="E12" i="4" s="1"/>
  <c r="F11" i="2"/>
  <c r="G11" i="2" s="1"/>
  <c r="H11" i="2" s="1"/>
  <c r="E9" i="4" s="1"/>
  <c r="F25" i="2"/>
  <c r="G25" i="2" s="1"/>
  <c r="H25" i="2" s="1"/>
  <c r="E23" i="4" s="1"/>
  <c r="F26" i="2"/>
  <c r="G26" i="2" s="1"/>
  <c r="H26" i="2" s="1"/>
  <c r="E24" i="4" s="1"/>
  <c r="F23" i="2"/>
  <c r="G23" i="2" s="1"/>
  <c r="H23" i="2" s="1"/>
  <c r="E21" i="4" s="1"/>
  <c r="F20" i="2"/>
  <c r="G20" i="2" s="1"/>
  <c r="H20" i="2" s="1"/>
  <c r="E18" i="4" s="1"/>
  <c r="F21" i="2"/>
  <c r="G21" i="2" s="1"/>
  <c r="H21" i="2" s="1"/>
  <c r="E19" i="4" s="1"/>
  <c r="F18" i="2"/>
  <c r="G18" i="2" s="1"/>
  <c r="H18" i="2" s="1"/>
  <c r="E16" i="4" s="1"/>
  <c r="F19" i="2"/>
  <c r="G19" i="2" s="1"/>
  <c r="H19" i="2" s="1"/>
  <c r="E17" i="4" s="1"/>
  <c r="F16" i="2"/>
  <c r="G16" i="2" s="1"/>
  <c r="H16" i="2" s="1"/>
  <c r="E14" i="4" s="1"/>
  <c r="D10" i="2"/>
  <c r="E10" i="2" s="1"/>
  <c r="D8" i="4" s="1"/>
  <c r="F30" i="2"/>
  <c r="G30" i="2" s="1"/>
  <c r="H30" i="2" s="1"/>
  <c r="E28" i="4" s="1"/>
  <c r="F27" i="2"/>
  <c r="G27" i="2" s="1"/>
  <c r="F28" i="2"/>
  <c r="G28" i="2" s="1"/>
  <c r="H28" i="2" s="1"/>
  <c r="E26" i="4" s="1"/>
  <c r="D29" i="2"/>
  <c r="E29" i="2" s="1"/>
  <c r="D27" i="4" s="1"/>
  <c r="D26" i="2"/>
  <c r="E26" i="2" s="1"/>
  <c r="D24" i="4" s="1"/>
  <c r="H27" i="2"/>
  <c r="E25" i="4" s="1"/>
  <c r="D17" i="2"/>
  <c r="E17" i="2" s="1"/>
  <c r="D15" i="4" s="1"/>
  <c r="D16" i="2"/>
  <c r="E16" i="2" s="1"/>
  <c r="D14" i="4" s="1"/>
  <c r="D13" i="2"/>
  <c r="E13" i="2" s="1"/>
  <c r="D11" i="4" s="1"/>
  <c r="D23" i="2"/>
  <c r="E23" i="2" s="1"/>
  <c r="D21" i="4" s="1"/>
  <c r="D24" i="2"/>
  <c r="E24" i="2" s="1"/>
  <c r="D22" i="4" s="1"/>
  <c r="D15" i="2"/>
  <c r="E15" i="2" s="1"/>
  <c r="D13" i="4" s="1"/>
  <c r="D18" i="2"/>
  <c r="E18" i="2" s="1"/>
  <c r="I18" i="2" s="1"/>
  <c r="F29" i="2"/>
  <c r="G29" i="2" s="1"/>
  <c r="H29" i="2" s="1"/>
  <c r="F22" i="2"/>
  <c r="G22" i="2" s="1"/>
  <c r="H22" i="2" s="1"/>
  <c r="E20" i="4" s="1"/>
  <c r="M19" i="4" s="1"/>
  <c r="F15" i="2"/>
  <c r="G15" i="2" s="1"/>
  <c r="H15" i="2" s="1"/>
  <c r="F10" i="2"/>
  <c r="G10" i="2" s="1"/>
  <c r="F24" i="2"/>
  <c r="G24" i="2" s="1"/>
  <c r="H24" i="2" s="1"/>
  <c r="E22" i="4" s="1"/>
  <c r="D25" i="2"/>
  <c r="E25" i="2" s="1"/>
  <c r="D20" i="2"/>
  <c r="E20" i="2" s="1"/>
  <c r="D18" i="4" s="1"/>
  <c r="D27" i="2"/>
  <c r="E27" i="2" s="1"/>
  <c r="D25" i="4" s="1"/>
  <c r="D11" i="2"/>
  <c r="E11" i="2" s="1"/>
  <c r="D9" i="4" s="1"/>
  <c r="D30" i="2"/>
  <c r="E30" i="2" s="1"/>
  <c r="D14" i="2"/>
  <c r="E14" i="2" s="1"/>
  <c r="H10" i="2"/>
  <c r="E8" i="4" s="1"/>
  <c r="D28" i="2"/>
  <c r="E28" i="2" s="1"/>
  <c r="D26" i="4" s="1"/>
  <c r="D12" i="2"/>
  <c r="E12" i="2" s="1"/>
  <c r="I12" i="2" s="1"/>
  <c r="D19" i="2"/>
  <c r="E19" i="2" s="1"/>
  <c r="D17" i="4" s="1"/>
  <c r="D21" i="2"/>
  <c r="E21" i="2" s="1"/>
  <c r="D22" i="2"/>
  <c r="E22" i="2" s="1"/>
  <c r="C21" i="5"/>
  <c r="C22" i="5" s="1"/>
  <c r="I17" i="2"/>
  <c r="M23" i="4" l="1"/>
  <c r="M24" i="4" s="1"/>
  <c r="M27" i="4" s="1"/>
  <c r="C24" i="5"/>
  <c r="C25" i="5" s="1"/>
  <c r="I14" i="2"/>
  <c r="I25" i="2"/>
  <c r="I26" i="2"/>
  <c r="I23" i="2"/>
  <c r="I20" i="2"/>
  <c r="I30" i="2"/>
  <c r="I13" i="2"/>
  <c r="I24" i="2"/>
  <c r="I11" i="2"/>
  <c r="I16" i="2"/>
  <c r="D10" i="4"/>
  <c r="I19" i="2"/>
  <c r="I21" i="2"/>
  <c r="I27" i="2"/>
  <c r="D28" i="4"/>
  <c r="D16" i="4"/>
  <c r="I10" i="2"/>
  <c r="D23" i="4"/>
  <c r="I22" i="2"/>
  <c r="E13" i="4"/>
  <c r="I15" i="2"/>
  <c r="E27" i="4"/>
  <c r="I29" i="2"/>
  <c r="D20" i="4"/>
  <c r="M14" i="4" s="1"/>
  <c r="I28" i="2"/>
  <c r="D19" i="4"/>
  <c r="D12" i="4"/>
  <c r="C26" i="5"/>
  <c r="M18" i="4" l="1"/>
  <c r="M20" i="4" s="1"/>
  <c r="M26" i="4" s="1"/>
  <c r="M16" i="4"/>
  <c r="M28" i="4" s="1"/>
  <c r="C27" i="5"/>
</calcChain>
</file>

<file path=xl/sharedStrings.xml><?xml version="1.0" encoding="utf-8"?>
<sst xmlns="http://schemas.openxmlformats.org/spreadsheetml/2006/main" count="121" uniqueCount="107">
  <si>
    <t>Flexible Plankostenrechnung</t>
  </si>
  <si>
    <t>Beschäftigung bei Kostenermittlung/Stdn.</t>
  </si>
  <si>
    <t>Produktionsmenge bei Kostenermittlung</t>
  </si>
  <si>
    <t>Kosteneingabe getrennt nach Kostenart</t>
  </si>
  <si>
    <t>Kostenart</t>
  </si>
  <si>
    <t>variable Kosten</t>
  </si>
  <si>
    <t>Gesamtkosten</t>
  </si>
  <si>
    <t>Gemeinkostenmaterial</t>
  </si>
  <si>
    <t>Hilfsstoffe</t>
  </si>
  <si>
    <t>Energie</t>
  </si>
  <si>
    <t>Fertigungslöhne</t>
  </si>
  <si>
    <t>Hilfslöhne</t>
  </si>
  <si>
    <t>Soziale Abgaben</t>
  </si>
  <si>
    <t>Abschreibungen</t>
  </si>
  <si>
    <t>Sonstige Gemeinkosten</t>
  </si>
  <si>
    <t>Kostensummen</t>
  </si>
  <si>
    <t>fixe Kosten</t>
  </si>
  <si>
    <t>fixe PLGK</t>
  </si>
  <si>
    <t>verrechnete PLGK</t>
  </si>
  <si>
    <t>Sollkosten</t>
  </si>
  <si>
    <t>Istkosten</t>
  </si>
  <si>
    <t>Plankostenverrechnungssätze</t>
  </si>
  <si>
    <t>Plangemeinkosten</t>
  </si>
  <si>
    <t>Stunden</t>
  </si>
  <si>
    <t>Beschäftigung bei Kostenermittlung</t>
  </si>
  <si>
    <t xml:space="preserve">Planeinzelkosten </t>
  </si>
  <si>
    <t>Fertigungszeit je Stück</t>
  </si>
  <si>
    <t>Plankostenverrechnungssatz</t>
  </si>
  <si>
    <t>Planfertigunsgkosten je Stück</t>
  </si>
  <si>
    <t>Materialgemeinkosten</t>
  </si>
  <si>
    <t>Verwaltungsgemeinkosten</t>
  </si>
  <si>
    <t>Vertriebsgemeinkosten</t>
  </si>
  <si>
    <t>= Planmaterialkosten</t>
  </si>
  <si>
    <t>+ Materialgemeinkosten</t>
  </si>
  <si>
    <t xml:space="preserve">   Fertigungsmaterial</t>
  </si>
  <si>
    <t>+ Planfertigungskosten</t>
  </si>
  <si>
    <t>= Planherstellkosten</t>
  </si>
  <si>
    <t>+ Verwaltungsgemeinkosten</t>
  </si>
  <si>
    <t>+ Vertriebsgemeinkosten</t>
  </si>
  <si>
    <t>= Planselbstkosten je Stück</t>
  </si>
  <si>
    <t>PLKVS insgesamt</t>
  </si>
  <si>
    <t>PLKVS variabel</t>
  </si>
  <si>
    <t>Fixkosten- differenz</t>
  </si>
  <si>
    <t>bei Planbeschäftigung</t>
  </si>
  <si>
    <t>Euro</t>
  </si>
  <si>
    <t>PLKVS gesamt</t>
  </si>
  <si>
    <t>Soll-Plan-Kostendifferenz</t>
  </si>
  <si>
    <t>Fixkosten</t>
  </si>
  <si>
    <t>zu viel</t>
  </si>
  <si>
    <t>verrechnet</t>
  </si>
  <si>
    <t>zu wenig</t>
  </si>
  <si>
    <t>Ausgangsbeschäftigung</t>
  </si>
  <si>
    <t>Beschäftigung Stunden</t>
  </si>
  <si>
    <t>PLKVS   variabel</t>
  </si>
  <si>
    <t>variable              PLGK</t>
  </si>
  <si>
    <t>Planbeschäftigung in Stunden</t>
  </si>
  <si>
    <t>Kapazitätsgrenze in Stunden</t>
  </si>
  <si>
    <t>Direkteingabe der</t>
  </si>
  <si>
    <t>Es werden jeweils die Soll- und Plankosten für 20</t>
  </si>
  <si>
    <t>alternative Beschäftigungen in Stunden berechnet.</t>
  </si>
  <si>
    <t>Die Kapatzitätsgrenze wird durch 20 geteilt und</t>
  </si>
  <si>
    <t xml:space="preserve">dann jeweils um den zwanzigsten Teil erhöht. </t>
  </si>
  <si>
    <t>Die Teilbarkeit durch 20 ist keine Bedingungen</t>
  </si>
  <si>
    <t>für die Berechnungen. Wenn der Planbeschäftigung</t>
  </si>
  <si>
    <t xml:space="preserve">Wert zugeordnet werden kann, wird der Schnittpunkt </t>
  </si>
  <si>
    <t>zwischen Soll- und Planbeschäftigung nur in der</t>
  </si>
  <si>
    <t>in der grafischen Darstellung angezeigt.</t>
  </si>
  <si>
    <t>Istkosten können immer nur den angezeigten</t>
  </si>
  <si>
    <t>(Alternativ können die Beschäftigungsintervalle</t>
  </si>
  <si>
    <t>erweitert werden.)</t>
  </si>
  <si>
    <t>Eingabefelder</t>
  </si>
  <si>
    <t>Bedingungen für die Kosenberechnung</t>
  </si>
  <si>
    <t>in der Berechnungstabelle kein eindeutiger</t>
  </si>
  <si>
    <t>Für die Gemeinkosten können Einzlewerte oder</t>
  </si>
  <si>
    <t>die direkt die Kostensummen eingeben werden</t>
  </si>
  <si>
    <t>Soll-Ist-Kostenvergleich</t>
  </si>
  <si>
    <t>Planeinzelkosten für Fertigungsmaterial</t>
  </si>
  <si>
    <t>Beschäftigung/Stdn.</t>
  </si>
  <si>
    <t>Istbeschäftigung</t>
  </si>
  <si>
    <t>Tragen Sie die Istbeschäftigung und die Istkosten für die entsprechende</t>
  </si>
  <si>
    <t>Beschäftigung in der Spalte Istkosten ein.</t>
  </si>
  <si>
    <t>= Gesamtabweichung</t>
  </si>
  <si>
    <t>-  Istkosten</t>
  </si>
  <si>
    <t xml:space="preserve">   Verrechnete Plangemeinkosten</t>
  </si>
  <si>
    <t>- Sollkosten</t>
  </si>
  <si>
    <t>= Beschäftigungsabweichung</t>
  </si>
  <si>
    <t xml:space="preserve">   Istkosten</t>
  </si>
  <si>
    <t>= Verbrauchsabweichung</t>
  </si>
  <si>
    <t xml:space="preserve">   Beschäftigungsabweichung</t>
  </si>
  <si>
    <t>+ Verbrauchsabweichung</t>
  </si>
  <si>
    <t>Abweichungsanalyse</t>
  </si>
  <si>
    <t>Beschäftigungsabweichungen sind durch die</t>
  </si>
  <si>
    <t>Marktlage bzw. durch die Absatzabteilung begründet.</t>
  </si>
  <si>
    <t xml:space="preserve">Verbauchsabweichungen sind produktionsbedingt </t>
  </si>
  <si>
    <t>und erfordern eine Kontrolle technischen Anlagen</t>
  </si>
  <si>
    <t>und Arbeitsabläufe.</t>
  </si>
  <si>
    <t>Selbskostenkalkulation</t>
  </si>
  <si>
    <t>Geben Sie die gesamten Kosten für Fertigungsmaterial</t>
  </si>
  <si>
    <t>und die Gemeinkostenzuschlagssaätze an.</t>
  </si>
  <si>
    <t>Ermittlung der Selbstkosten je Stück</t>
  </si>
  <si>
    <r>
      <t xml:space="preserve">Beschäftigungen zugeordnet werden. </t>
    </r>
    <r>
      <rPr>
        <sz val="9"/>
        <color theme="1"/>
        <rFont val="Calibri"/>
        <family val="2"/>
        <scheme val="minor"/>
      </rPr>
      <t>(Seite Soll-Ist)</t>
    </r>
  </si>
  <si>
    <t>Beschäftiungs-</t>
  </si>
  <si>
    <t>B-abweichung</t>
  </si>
  <si>
    <t>Verbrauchs-</t>
  </si>
  <si>
    <t>V-abweichung</t>
  </si>
  <si>
    <t>Gesamt-</t>
  </si>
  <si>
    <t>G-abweichung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</si>
</sst>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Border="1"/>
    <xf numFmtId="49" fontId="0" fillId="0" borderId="0" xfId="0" applyNumberFormat="1"/>
    <xf numFmtId="4" fontId="0" fillId="0" borderId="0" xfId="0" applyNumberFormat="1" applyBorder="1"/>
    <xf numFmtId="4" fontId="2" fillId="0" borderId="1" xfId="0" applyNumberFormat="1" applyFont="1" applyBorder="1"/>
    <xf numFmtId="4" fontId="2" fillId="8" borderId="1" xfId="0" applyNumberFormat="1" applyFont="1" applyFill="1" applyBorder="1"/>
    <xf numFmtId="4" fontId="2" fillId="7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0" fillId="9" borderId="1" xfId="0" applyNumberFormat="1" applyFill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9" borderId="1" xfId="0" applyFill="1" applyBorder="1"/>
    <xf numFmtId="0" fontId="4" fillId="0" borderId="0" xfId="0" applyFont="1"/>
    <xf numFmtId="0" fontId="0" fillId="9" borderId="2" xfId="0" applyFill="1" applyBorder="1"/>
    <xf numFmtId="0" fontId="0" fillId="9" borderId="3" xfId="0" applyFill="1" applyBorder="1"/>
    <xf numFmtId="0" fontId="5" fillId="0" borderId="0" xfId="0" applyFont="1"/>
    <xf numFmtId="4" fontId="0" fillId="5" borderId="1" xfId="0" applyNumberFormat="1" applyFill="1" applyBorder="1"/>
    <xf numFmtId="4" fontId="0" fillId="10" borderId="1" xfId="0" applyNumberFormat="1" applyFill="1" applyBorder="1"/>
    <xf numFmtId="0" fontId="0" fillId="10" borderId="1" xfId="0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5" borderId="6" xfId="0" applyFill="1" applyBorder="1"/>
    <xf numFmtId="0" fontId="0" fillId="0" borderId="7" xfId="0" applyBorder="1"/>
    <xf numFmtId="0" fontId="0" fillId="0" borderId="8" xfId="0" applyBorder="1"/>
    <xf numFmtId="0" fontId="0" fillId="5" borderId="9" xfId="0" applyFill="1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2" fillId="9" borderId="1" xfId="0" applyFont="1" applyFill="1" applyBorder="1"/>
    <xf numFmtId="0" fontId="0" fillId="0" borderId="11" xfId="0" applyBorder="1"/>
    <xf numFmtId="49" fontId="1" fillId="6" borderId="0" xfId="0" applyNumberFormat="1" applyFont="1" applyFill="1"/>
    <xf numFmtId="4" fontId="1" fillId="6" borderId="0" xfId="0" applyNumberFormat="1" applyFont="1" applyFill="1"/>
    <xf numFmtId="49" fontId="0" fillId="0" borderId="7" xfId="0" applyNumberFormat="1" applyBorder="1"/>
    <xf numFmtId="4" fontId="0" fillId="0" borderId="8" xfId="0" applyNumberFormat="1" applyBorder="1"/>
    <xf numFmtId="49" fontId="0" fillId="0" borderId="12" xfId="0" applyNumberFormat="1" applyBorder="1"/>
    <xf numFmtId="4" fontId="0" fillId="0" borderId="13" xfId="0" applyNumberFormat="1" applyBorder="1"/>
    <xf numFmtId="49" fontId="0" fillId="0" borderId="9" xfId="0" applyNumberFormat="1" applyBorder="1"/>
    <xf numFmtId="4" fontId="0" fillId="0" borderId="11" xfId="0" applyNumberFormat="1" applyBorder="1"/>
    <xf numFmtId="4" fontId="0" fillId="8" borderId="1" xfId="0" applyNumberFormat="1" applyFill="1" applyBorder="1"/>
    <xf numFmtId="4" fontId="0" fillId="7" borderId="1" xfId="0" applyNumberFormat="1" applyFill="1" applyBorder="1"/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6" fillId="8" borderId="1" xfId="0" applyNumberFormat="1" applyFont="1" applyFill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49" fontId="2" fillId="7" borderId="1" xfId="0" applyNumberFormat="1" applyFont="1" applyFill="1" applyBorder="1"/>
    <xf numFmtId="49" fontId="2" fillId="11" borderId="1" xfId="0" applyNumberFormat="1" applyFont="1" applyFill="1" applyBorder="1"/>
    <xf numFmtId="4" fontId="2" fillId="11" borderId="1" xfId="0" applyNumberFormat="1" applyFont="1" applyFill="1" applyBorder="1"/>
    <xf numFmtId="49" fontId="2" fillId="13" borderId="1" xfId="0" applyNumberFormat="1" applyFont="1" applyFill="1" applyBorder="1"/>
    <xf numFmtId="4" fontId="2" fillId="13" borderId="1" xfId="0" applyNumberFormat="1" applyFont="1" applyFill="1" applyBorder="1"/>
    <xf numFmtId="49" fontId="2" fillId="12" borderId="1" xfId="0" applyNumberFormat="1" applyFont="1" applyFill="1" applyBorder="1"/>
    <xf numFmtId="4" fontId="2" fillId="12" borderId="1" xfId="0" applyNumberFormat="1" applyFont="1" applyFill="1" applyBorder="1"/>
    <xf numFmtId="4" fontId="7" fillId="9" borderId="1" xfId="0" applyNumberFormat="1" applyFont="1" applyFill="1" applyBorder="1"/>
    <xf numFmtId="49" fontId="7" fillId="9" borderId="1" xfId="0" applyNumberFormat="1" applyFont="1" applyFill="1" applyBorder="1"/>
    <xf numFmtId="9" fontId="0" fillId="9" borderId="1" xfId="0" applyNumberFormat="1" applyFill="1" applyBorder="1"/>
    <xf numFmtId="0" fontId="0" fillId="7" borderId="1" xfId="0" applyFill="1" applyBorder="1"/>
    <xf numFmtId="0" fontId="0" fillId="8" borderId="8" xfId="0" applyFill="1" applyBorder="1"/>
    <xf numFmtId="49" fontId="0" fillId="8" borderId="5" xfId="0" applyNumberFormat="1" applyFill="1" applyBorder="1"/>
    <xf numFmtId="4" fontId="0" fillId="8" borderId="5" xfId="0" applyNumberFormat="1" applyFill="1" applyBorder="1"/>
    <xf numFmtId="49" fontId="0" fillId="8" borderId="4" xfId="0" applyNumberFormat="1" applyFill="1" applyBorder="1"/>
    <xf numFmtId="4" fontId="0" fillId="8" borderId="4" xfId="0" applyNumberFormat="1" applyFill="1" applyBorder="1"/>
    <xf numFmtId="49" fontId="0" fillId="8" borderId="14" xfId="0" applyNumberFormat="1" applyFill="1" applyBorder="1"/>
    <xf numFmtId="4" fontId="0" fillId="8" borderId="14" xfId="0" applyNumberFormat="1" applyFill="1" applyBorder="1"/>
    <xf numFmtId="0" fontId="0" fillId="0" borderId="0" xfId="0" applyFill="1" applyBorder="1"/>
    <xf numFmtId="0" fontId="0" fillId="8" borderId="9" xfId="0" applyFill="1" applyBorder="1"/>
    <xf numFmtId="0" fontId="0" fillId="8" borderId="11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1" xfId="0" applyFill="1" applyBorder="1"/>
    <xf numFmtId="0" fontId="8" fillId="8" borderId="7" xfId="0" applyFont="1" applyFill="1" applyBorder="1"/>
    <xf numFmtId="49" fontId="8" fillId="8" borderId="1" xfId="0" applyNumberFormat="1" applyFont="1" applyFill="1" applyBorder="1"/>
    <xf numFmtId="4" fontId="8" fillId="8" borderId="1" xfId="0" applyNumberFormat="1" applyFont="1" applyFill="1" applyBorder="1"/>
    <xf numFmtId="0" fontId="0" fillId="0" borderId="12" xfId="0" applyBorder="1"/>
    <xf numFmtId="0" fontId="0" fillId="5" borderId="12" xfId="0" applyFill="1" applyBorder="1"/>
    <xf numFmtId="0" fontId="1" fillId="6" borderId="1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3"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FF99"/>
      <color rgb="FFCCFF99"/>
      <color rgb="FFFFCC99"/>
      <color rgb="FFFF6600"/>
      <color rgb="FFFFCCFF"/>
      <color rgb="FFFF99FF"/>
      <color rgb="FFFF99CC"/>
      <color rgb="FFFF6699"/>
      <color rgb="FFFFCC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Soll-Ist-Kostenvergleich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'Soll-Ist'!$F$7</c:f>
              <c:strCache>
                <c:ptCount val="1"/>
                <c:pt idx="0">
                  <c:v>Istkosten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</c:spPr>
          </c:dPt>
          <c:cat>
            <c:numRef>
              <c:f>'Soll-Ist'!$B$8:$B$28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'Soll-Ist'!$F$8:$F$28</c:f>
              <c:numCache>
                <c:formatCode>#,##0.00</c:formatCode>
                <c:ptCount val="21"/>
                <c:pt idx="12">
                  <c:v>400000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60553600"/>
        <c:axId val="197722496"/>
      </c:barChart>
      <c:lineChart>
        <c:grouping val="standard"/>
        <c:varyColors val="0"/>
        <c:ser>
          <c:idx val="0"/>
          <c:order val="0"/>
          <c:tx>
            <c:strRef>
              <c:f>'Soll-Ist'!$C$7</c:f>
              <c:strCache>
                <c:ptCount val="1"/>
                <c:pt idx="0">
                  <c:v>fixe PLGK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'Soll-Ist'!$B$8:$B$28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'Soll-Ist'!$C$8:$C$28</c:f>
              <c:numCache>
                <c:formatCode>#,##0.00</c:formatCode>
                <c:ptCount val="21"/>
                <c:pt idx="0">
                  <c:v>181000</c:v>
                </c:pt>
                <c:pt idx="1">
                  <c:v>181000</c:v>
                </c:pt>
                <c:pt idx="2">
                  <c:v>181000</c:v>
                </c:pt>
                <c:pt idx="3">
                  <c:v>181000</c:v>
                </c:pt>
                <c:pt idx="4">
                  <c:v>181000</c:v>
                </c:pt>
                <c:pt idx="5">
                  <c:v>181000</c:v>
                </c:pt>
                <c:pt idx="6">
                  <c:v>181000</c:v>
                </c:pt>
                <c:pt idx="7">
                  <c:v>181000</c:v>
                </c:pt>
                <c:pt idx="8">
                  <c:v>181000</c:v>
                </c:pt>
                <c:pt idx="9">
                  <c:v>181000</c:v>
                </c:pt>
                <c:pt idx="10">
                  <c:v>181000</c:v>
                </c:pt>
                <c:pt idx="11">
                  <c:v>181000</c:v>
                </c:pt>
                <c:pt idx="12">
                  <c:v>181000</c:v>
                </c:pt>
                <c:pt idx="13">
                  <c:v>181000</c:v>
                </c:pt>
                <c:pt idx="14">
                  <c:v>181000</c:v>
                </c:pt>
                <c:pt idx="15">
                  <c:v>181000</c:v>
                </c:pt>
                <c:pt idx="16">
                  <c:v>181000</c:v>
                </c:pt>
                <c:pt idx="17">
                  <c:v>181000</c:v>
                </c:pt>
                <c:pt idx="18">
                  <c:v>181000</c:v>
                </c:pt>
                <c:pt idx="19">
                  <c:v>181000</c:v>
                </c:pt>
                <c:pt idx="20">
                  <c:v>181000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'Soll-Ist'!$D$7</c:f>
              <c:strCache>
                <c:ptCount val="1"/>
                <c:pt idx="0">
                  <c:v>verrechnete PLGK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'Soll-Ist'!$B$8:$B$28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'Soll-Ist'!$D$8:$D$28</c:f>
              <c:numCache>
                <c:formatCode>#,##0.00</c:formatCode>
                <c:ptCount val="21"/>
                <c:pt idx="0">
                  <c:v>0</c:v>
                </c:pt>
                <c:pt idx="1">
                  <c:v>24923.611111111109</c:v>
                </c:pt>
                <c:pt idx="2">
                  <c:v>49847.222222222219</c:v>
                </c:pt>
                <c:pt idx="3">
                  <c:v>74770.833333333328</c:v>
                </c:pt>
                <c:pt idx="4">
                  <c:v>99694.444444444438</c:v>
                </c:pt>
                <c:pt idx="5">
                  <c:v>124618.05555555555</c:v>
                </c:pt>
                <c:pt idx="6">
                  <c:v>149541.66666666666</c:v>
                </c:pt>
                <c:pt idx="7">
                  <c:v>174465.27777777775</c:v>
                </c:pt>
                <c:pt idx="8">
                  <c:v>199388.88888888888</c:v>
                </c:pt>
                <c:pt idx="9">
                  <c:v>224312.49999999997</c:v>
                </c:pt>
                <c:pt idx="10">
                  <c:v>249236.11111111109</c:v>
                </c:pt>
                <c:pt idx="11">
                  <c:v>274159.72222222219</c:v>
                </c:pt>
                <c:pt idx="12">
                  <c:v>299083.33333333331</c:v>
                </c:pt>
                <c:pt idx="13">
                  <c:v>324006.94444444444</c:v>
                </c:pt>
                <c:pt idx="14">
                  <c:v>348930.5555555555</c:v>
                </c:pt>
                <c:pt idx="15">
                  <c:v>373854.16666666663</c:v>
                </c:pt>
                <c:pt idx="16">
                  <c:v>398777.77777777775</c:v>
                </c:pt>
                <c:pt idx="17">
                  <c:v>423701.38888888882</c:v>
                </c:pt>
                <c:pt idx="18">
                  <c:v>448624.99999999994</c:v>
                </c:pt>
                <c:pt idx="19">
                  <c:v>473548.61111111107</c:v>
                </c:pt>
                <c:pt idx="20">
                  <c:v>498472.22222222219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'Soll-Ist'!$E$7</c:f>
              <c:strCache>
                <c:ptCount val="1"/>
                <c:pt idx="0">
                  <c:v>Sollkosten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'Soll-Ist'!$B$8:$B$28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'Soll-Ist'!$E$8:$E$28</c:f>
              <c:numCache>
                <c:formatCode>#,##0.00</c:formatCode>
                <c:ptCount val="21"/>
                <c:pt idx="0">
                  <c:v>181000</c:v>
                </c:pt>
                <c:pt idx="1">
                  <c:v>194611.11111111112</c:v>
                </c:pt>
                <c:pt idx="2">
                  <c:v>208222.22222222222</c:v>
                </c:pt>
                <c:pt idx="3">
                  <c:v>221833.33333333334</c:v>
                </c:pt>
                <c:pt idx="4">
                  <c:v>235444.44444444444</c:v>
                </c:pt>
                <c:pt idx="5">
                  <c:v>249055.55555555556</c:v>
                </c:pt>
                <c:pt idx="6">
                  <c:v>262666.66666666669</c:v>
                </c:pt>
                <c:pt idx="7">
                  <c:v>276277.77777777775</c:v>
                </c:pt>
                <c:pt idx="8">
                  <c:v>289888.88888888888</c:v>
                </c:pt>
                <c:pt idx="9">
                  <c:v>303500</c:v>
                </c:pt>
                <c:pt idx="10">
                  <c:v>317111.11111111112</c:v>
                </c:pt>
                <c:pt idx="11">
                  <c:v>330722.22222222225</c:v>
                </c:pt>
                <c:pt idx="12">
                  <c:v>344333.33333333337</c:v>
                </c:pt>
                <c:pt idx="13">
                  <c:v>357944.44444444444</c:v>
                </c:pt>
                <c:pt idx="14">
                  <c:v>371555.55555555556</c:v>
                </c:pt>
                <c:pt idx="15">
                  <c:v>385166.66666666663</c:v>
                </c:pt>
                <c:pt idx="16">
                  <c:v>398777.77777777775</c:v>
                </c:pt>
                <c:pt idx="17">
                  <c:v>412388.88888888888</c:v>
                </c:pt>
                <c:pt idx="18">
                  <c:v>426000</c:v>
                </c:pt>
                <c:pt idx="19">
                  <c:v>439611.11111111112</c:v>
                </c:pt>
                <c:pt idx="20">
                  <c:v>453222.22222222225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3600"/>
        <c:axId val="197722496"/>
      </c:lineChart>
      <c:catAx>
        <c:axId val="1605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722496"/>
        <c:crosses val="autoZero"/>
        <c:auto val="1"/>
        <c:lblAlgn val="ctr"/>
        <c:lblOffset val="100"/>
        <c:noMultiLvlLbl val="0"/>
      </c:catAx>
      <c:valAx>
        <c:axId val="197722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Kosten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60553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solidFill>
        <a:srgbClr val="C00000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9525</xdr:rowOff>
    </xdr:from>
    <xdr:to>
      <xdr:col>10</xdr:col>
      <xdr:colOff>390525</xdr:colOff>
      <xdr:row>29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0.78967</cdr:x>
      <cdr:y>0.90195</cdr:y>
    </cdr:from>
    <cdr:to>
      <cdr:x>0.9537</cdr:x>
      <cdr:y>0.98233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5686326" y="4862537"/>
          <a:ext cx="1181199" cy="4333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/>
            <a:t>Beschäftigung in Stunden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tabSelected="1" workbookViewId="0"/>
  </sheetViews>
  <sheetFormatPr baseColWidth="10" defaultRowHeight="15" x14ac:dyDescent="0.25"/>
  <cols>
    <col min="1" max="1" width="2.140625" customWidth="1"/>
    <col min="2" max="2" width="22.140625" customWidth="1"/>
    <col min="3" max="3" width="16" customWidth="1"/>
    <col min="5" max="5" width="13.7109375" customWidth="1"/>
    <col min="6" max="6" width="2.42578125" customWidth="1"/>
    <col min="10" max="10" width="14.28515625" customWidth="1"/>
  </cols>
  <sheetData>
    <row r="2" spans="2:8" ht="25.5" x14ac:dyDescent="0.35">
      <c r="B2" s="20" t="s">
        <v>0</v>
      </c>
    </row>
    <row r="4" spans="2:8" x14ac:dyDescent="0.25">
      <c r="B4" s="14" t="s">
        <v>56</v>
      </c>
      <c r="C4" s="21"/>
      <c r="D4" s="24">
        <v>1000</v>
      </c>
      <c r="G4" s="26" t="s">
        <v>70</v>
      </c>
      <c r="H4" s="27"/>
    </row>
    <row r="5" spans="2:8" x14ac:dyDescent="0.25">
      <c r="B5" s="14" t="s">
        <v>1</v>
      </c>
      <c r="C5" s="21"/>
      <c r="D5" s="24">
        <v>900</v>
      </c>
      <c r="G5" t="s">
        <v>73</v>
      </c>
    </row>
    <row r="6" spans="2:8" x14ac:dyDescent="0.25">
      <c r="B6" s="14" t="s">
        <v>2</v>
      </c>
      <c r="C6" s="21"/>
      <c r="D6" s="24">
        <v>1800</v>
      </c>
      <c r="G6" t="s">
        <v>74</v>
      </c>
    </row>
    <row r="7" spans="2:8" ht="15.75" x14ac:dyDescent="0.25">
      <c r="G7" s="28" t="s">
        <v>71</v>
      </c>
    </row>
    <row r="8" spans="2:8" x14ac:dyDescent="0.25">
      <c r="B8" s="14" t="s">
        <v>55</v>
      </c>
      <c r="C8" s="21"/>
      <c r="D8" s="24">
        <v>800</v>
      </c>
      <c r="G8" t="s">
        <v>58</v>
      </c>
    </row>
    <row r="9" spans="2:8" x14ac:dyDescent="0.25">
      <c r="G9" t="s">
        <v>59</v>
      </c>
    </row>
    <row r="10" spans="2:8" x14ac:dyDescent="0.25">
      <c r="B10" s="14" t="s">
        <v>3</v>
      </c>
      <c r="C10" s="21"/>
      <c r="G10" t="s">
        <v>60</v>
      </c>
    </row>
    <row r="11" spans="2:8" x14ac:dyDescent="0.25">
      <c r="B11" s="1" t="s">
        <v>4</v>
      </c>
      <c r="C11" s="1" t="s">
        <v>5</v>
      </c>
      <c r="D11" s="1" t="s">
        <v>16</v>
      </c>
      <c r="E11" s="1" t="s">
        <v>6</v>
      </c>
      <c r="G11" t="s">
        <v>61</v>
      </c>
    </row>
    <row r="12" spans="2:8" x14ac:dyDescent="0.25">
      <c r="B12" s="1" t="s">
        <v>7</v>
      </c>
      <c r="C12" s="19">
        <v>1000</v>
      </c>
      <c r="D12" s="19">
        <v>6000</v>
      </c>
      <c r="E12" s="4">
        <f>C12+D12</f>
        <v>7000</v>
      </c>
    </row>
    <row r="13" spans="2:8" x14ac:dyDescent="0.25">
      <c r="B13" s="1" t="s">
        <v>8</v>
      </c>
      <c r="C13" s="19">
        <v>5000</v>
      </c>
      <c r="D13" s="19">
        <v>1000</v>
      </c>
      <c r="E13" s="4">
        <f t="shared" ref="E13:E19" si="0">C13+D13</f>
        <v>6000</v>
      </c>
      <c r="G13" t="s">
        <v>62</v>
      </c>
    </row>
    <row r="14" spans="2:8" x14ac:dyDescent="0.25">
      <c r="B14" s="1" t="s">
        <v>9</v>
      </c>
      <c r="C14" s="19">
        <v>24000</v>
      </c>
      <c r="D14" s="19">
        <v>8000</v>
      </c>
      <c r="E14" s="4">
        <f t="shared" si="0"/>
        <v>32000</v>
      </c>
      <c r="G14" t="s">
        <v>63</v>
      </c>
    </row>
    <row r="15" spans="2:8" x14ac:dyDescent="0.25">
      <c r="B15" s="1" t="s">
        <v>10</v>
      </c>
      <c r="C15" s="19">
        <v>150000</v>
      </c>
      <c r="D15" s="19"/>
      <c r="E15" s="4">
        <f t="shared" si="0"/>
        <v>150000</v>
      </c>
      <c r="G15" t="s">
        <v>72</v>
      </c>
    </row>
    <row r="16" spans="2:8" x14ac:dyDescent="0.25">
      <c r="B16" s="1" t="s">
        <v>11</v>
      </c>
      <c r="C16" s="19">
        <v>5000</v>
      </c>
      <c r="D16" s="19">
        <v>20000</v>
      </c>
      <c r="E16" s="4">
        <f t="shared" si="0"/>
        <v>25000</v>
      </c>
      <c r="G16" t="s">
        <v>64</v>
      </c>
    </row>
    <row r="17" spans="2:7" x14ac:dyDescent="0.25">
      <c r="B17" s="1" t="s">
        <v>12</v>
      </c>
      <c r="C17" s="19">
        <v>20000</v>
      </c>
      <c r="D17" s="19">
        <v>5000</v>
      </c>
      <c r="E17" s="4">
        <f t="shared" si="0"/>
        <v>25000</v>
      </c>
      <c r="G17" t="s">
        <v>65</v>
      </c>
    </row>
    <row r="18" spans="2:7" x14ac:dyDescent="0.25">
      <c r="B18" s="1" t="s">
        <v>13</v>
      </c>
      <c r="C18" s="19">
        <v>10000</v>
      </c>
      <c r="D18" s="19">
        <v>125000</v>
      </c>
      <c r="E18" s="4">
        <f t="shared" si="0"/>
        <v>135000</v>
      </c>
      <c r="G18" t="s">
        <v>66</v>
      </c>
    </row>
    <row r="19" spans="2:7" x14ac:dyDescent="0.25">
      <c r="B19" s="1" t="s">
        <v>14</v>
      </c>
      <c r="C19" s="19">
        <v>30000</v>
      </c>
      <c r="D19" s="19">
        <v>16000</v>
      </c>
      <c r="E19" s="4">
        <f t="shared" si="0"/>
        <v>46000</v>
      </c>
    </row>
    <row r="20" spans="2:7" x14ac:dyDescent="0.25">
      <c r="B20" s="1" t="s">
        <v>15</v>
      </c>
      <c r="C20" s="29">
        <f>SUM(C12:C19)</f>
        <v>245000</v>
      </c>
      <c r="D20" s="29">
        <f t="shared" ref="D20:E20" si="1">SUM(D12:D19)</f>
        <v>181000</v>
      </c>
      <c r="E20" s="4">
        <f t="shared" si="1"/>
        <v>426000</v>
      </c>
      <c r="G20" t="s">
        <v>67</v>
      </c>
    </row>
    <row r="21" spans="2:7" x14ac:dyDescent="0.25">
      <c r="G21" t="s">
        <v>100</v>
      </c>
    </row>
    <row r="22" spans="2:7" x14ac:dyDescent="0.25">
      <c r="B22" s="22" t="s">
        <v>57</v>
      </c>
      <c r="C22" s="1" t="s">
        <v>5</v>
      </c>
      <c r="D22" s="1" t="s">
        <v>16</v>
      </c>
      <c r="E22" s="1" t="s">
        <v>6</v>
      </c>
      <c r="G22" s="25" t="s">
        <v>68</v>
      </c>
    </row>
    <row r="23" spans="2:7" x14ac:dyDescent="0.25">
      <c r="B23" s="23" t="s">
        <v>15</v>
      </c>
      <c r="C23" s="19"/>
      <c r="D23" s="19"/>
      <c r="E23" s="4"/>
      <c r="G23" s="25" t="s">
        <v>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workbookViewId="0"/>
  </sheetViews>
  <sheetFormatPr baseColWidth="10" defaultRowHeight="15" x14ac:dyDescent="0.25"/>
  <cols>
    <col min="1" max="1" width="1.85546875" customWidth="1"/>
    <col min="2" max="9" width="13.7109375" customWidth="1"/>
  </cols>
  <sheetData>
    <row r="1" spans="2:9" ht="8.25" customHeight="1" x14ac:dyDescent="0.25"/>
    <row r="2" spans="2:9" ht="25.5" x14ac:dyDescent="0.35">
      <c r="B2" s="20" t="s">
        <v>46</v>
      </c>
    </row>
    <row r="3" spans="2:9" ht="6.75" customHeight="1" x14ac:dyDescent="0.25"/>
    <row r="4" spans="2:9" x14ac:dyDescent="0.25">
      <c r="B4" s="10" t="s">
        <v>22</v>
      </c>
      <c r="C4" s="10"/>
      <c r="D4" s="11">
        <f>IF(Steuerung!C20&gt;0,(Steuerung!$C$20*Steuerung!$D$8)/Steuerung!$D$5+Steuerung!$D$20,(Steuerung!C23*Steuerung!D8)/Steuerung!D5+Steuerung!D23)</f>
        <v>398777.77777777775</v>
      </c>
      <c r="E4" s="10" t="s">
        <v>44</v>
      </c>
      <c r="F4" s="90" t="s">
        <v>47</v>
      </c>
      <c r="G4" s="91"/>
      <c r="H4" s="1" t="s">
        <v>21</v>
      </c>
      <c r="I4" s="1"/>
    </row>
    <row r="5" spans="2:9" x14ac:dyDescent="0.25">
      <c r="B5" s="1" t="s">
        <v>43</v>
      </c>
      <c r="C5" s="1"/>
      <c r="D5" s="1">
        <f>Steuerung!D8</f>
        <v>800</v>
      </c>
      <c r="E5" s="14" t="s">
        <v>23</v>
      </c>
      <c r="F5" s="15" t="s">
        <v>48</v>
      </c>
      <c r="G5" s="17" t="s">
        <v>50</v>
      </c>
      <c r="H5" s="31" t="s">
        <v>45</v>
      </c>
      <c r="I5" s="12" t="s">
        <v>41</v>
      </c>
    </row>
    <row r="6" spans="2:9" x14ac:dyDescent="0.25">
      <c r="B6" s="3" t="s">
        <v>51</v>
      </c>
      <c r="C6" s="1"/>
      <c r="D6" s="1">
        <f>Steuerung!D5</f>
        <v>900</v>
      </c>
      <c r="E6" s="1" t="s">
        <v>23</v>
      </c>
      <c r="F6" s="16" t="s">
        <v>49</v>
      </c>
      <c r="G6" s="18" t="s">
        <v>49</v>
      </c>
      <c r="H6" s="32">
        <f>D4/Steuerung!D8</f>
        <v>498.47222222222217</v>
      </c>
      <c r="I6" s="13">
        <f>IF(Steuerung!C20&gt;0,Steuerung!C20/Steuerung!D5,Steuerung!C23/Steuerung!D5)</f>
        <v>272.22222222222223</v>
      </c>
    </row>
    <row r="7" spans="2:9" ht="6" customHeight="1" x14ac:dyDescent="0.25"/>
    <row r="8" spans="2:9" x14ac:dyDescent="0.25">
      <c r="B8" s="89" t="s">
        <v>52</v>
      </c>
      <c r="C8" s="92" t="s">
        <v>17</v>
      </c>
      <c r="D8" s="89" t="s">
        <v>40</v>
      </c>
      <c r="E8" s="89" t="s">
        <v>18</v>
      </c>
      <c r="F8" s="89" t="s">
        <v>53</v>
      </c>
      <c r="G8" s="89" t="s">
        <v>54</v>
      </c>
      <c r="H8" s="89" t="s">
        <v>19</v>
      </c>
      <c r="I8" s="89" t="s">
        <v>42</v>
      </c>
    </row>
    <row r="9" spans="2:9" x14ac:dyDescent="0.25">
      <c r="B9" s="89"/>
      <c r="C9" s="92"/>
      <c r="D9" s="89"/>
      <c r="E9" s="89"/>
      <c r="F9" s="89"/>
      <c r="G9" s="89"/>
      <c r="H9" s="89"/>
      <c r="I9" s="89"/>
    </row>
    <row r="10" spans="2:9" x14ac:dyDescent="0.25">
      <c r="B10" s="12">
        <v>0</v>
      </c>
      <c r="C10" s="4">
        <f>IF(Steuerung!$D$20&gt;0,Steuerung!$D$20,Steuerung!$D$23)</f>
        <v>181000</v>
      </c>
      <c r="D10" s="30">
        <f t="shared" ref="D10:D30" si="0">$H$6</f>
        <v>498.47222222222217</v>
      </c>
      <c r="E10" s="8">
        <f>B10*D10</f>
        <v>0</v>
      </c>
      <c r="F10" s="4">
        <f t="shared" ref="F10:F30" si="1">$I$6</f>
        <v>272.22222222222223</v>
      </c>
      <c r="G10" s="4">
        <f>B10*F10</f>
        <v>0</v>
      </c>
      <c r="H10" s="9">
        <f>C10+G10</f>
        <v>181000</v>
      </c>
      <c r="I10" s="7">
        <f>E10-H10</f>
        <v>-181000</v>
      </c>
    </row>
    <row r="11" spans="2:9" x14ac:dyDescent="0.25">
      <c r="B11" s="12">
        <f>B30/20</f>
        <v>50</v>
      </c>
      <c r="C11" s="4">
        <f>IF(Steuerung!$D$20&gt;0,Steuerung!$D$20,Steuerung!$D$23)</f>
        <v>181000</v>
      </c>
      <c r="D11" s="30">
        <f t="shared" si="0"/>
        <v>498.47222222222217</v>
      </c>
      <c r="E11" s="8">
        <f t="shared" ref="E11:E30" si="2">B11*D11</f>
        <v>24923.611111111109</v>
      </c>
      <c r="F11" s="4">
        <f t="shared" si="1"/>
        <v>272.22222222222223</v>
      </c>
      <c r="G11" s="4">
        <f t="shared" ref="G11:G30" si="3">B11*F11</f>
        <v>13611.111111111111</v>
      </c>
      <c r="H11" s="9">
        <f t="shared" ref="H11:H30" si="4">C11+G11</f>
        <v>194611.11111111112</v>
      </c>
      <c r="I11" s="7">
        <f t="shared" ref="I11:I30" si="5">E11-H11</f>
        <v>-169687.5</v>
      </c>
    </row>
    <row r="12" spans="2:9" x14ac:dyDescent="0.25">
      <c r="B12" s="12">
        <f>B11+$B$11</f>
        <v>100</v>
      </c>
      <c r="C12" s="4">
        <f>IF(Steuerung!$D$20&gt;0,Steuerung!$D$20,Steuerung!$D$23)</f>
        <v>181000</v>
      </c>
      <c r="D12" s="30">
        <f t="shared" si="0"/>
        <v>498.47222222222217</v>
      </c>
      <c r="E12" s="8">
        <f t="shared" si="2"/>
        <v>49847.222222222219</v>
      </c>
      <c r="F12" s="4">
        <f t="shared" si="1"/>
        <v>272.22222222222223</v>
      </c>
      <c r="G12" s="4">
        <f t="shared" si="3"/>
        <v>27222.222222222223</v>
      </c>
      <c r="H12" s="9">
        <f t="shared" si="4"/>
        <v>208222.22222222222</v>
      </c>
      <c r="I12" s="7">
        <f t="shared" si="5"/>
        <v>-158375</v>
      </c>
    </row>
    <row r="13" spans="2:9" x14ac:dyDescent="0.25">
      <c r="B13" s="12">
        <f t="shared" ref="B13:B29" si="6">B12+$B$11</f>
        <v>150</v>
      </c>
      <c r="C13" s="4">
        <f>IF(Steuerung!$D$20&gt;0,Steuerung!$D$20,Steuerung!$D$23)</f>
        <v>181000</v>
      </c>
      <c r="D13" s="30">
        <f t="shared" si="0"/>
        <v>498.47222222222217</v>
      </c>
      <c r="E13" s="8">
        <f t="shared" si="2"/>
        <v>74770.833333333328</v>
      </c>
      <c r="F13" s="4">
        <f t="shared" si="1"/>
        <v>272.22222222222223</v>
      </c>
      <c r="G13" s="4">
        <f t="shared" si="3"/>
        <v>40833.333333333336</v>
      </c>
      <c r="H13" s="9">
        <f t="shared" si="4"/>
        <v>221833.33333333334</v>
      </c>
      <c r="I13" s="7">
        <f t="shared" si="5"/>
        <v>-147062.5</v>
      </c>
    </row>
    <row r="14" spans="2:9" x14ac:dyDescent="0.25">
      <c r="B14" s="12">
        <f t="shared" si="6"/>
        <v>200</v>
      </c>
      <c r="C14" s="4">
        <f>IF(Steuerung!$D$20&gt;0,Steuerung!$D$20,Steuerung!$D$23)</f>
        <v>181000</v>
      </c>
      <c r="D14" s="30">
        <f t="shared" si="0"/>
        <v>498.47222222222217</v>
      </c>
      <c r="E14" s="8">
        <f t="shared" si="2"/>
        <v>99694.444444444438</v>
      </c>
      <c r="F14" s="4">
        <f t="shared" si="1"/>
        <v>272.22222222222223</v>
      </c>
      <c r="G14" s="4">
        <f t="shared" si="3"/>
        <v>54444.444444444445</v>
      </c>
      <c r="H14" s="9">
        <f t="shared" si="4"/>
        <v>235444.44444444444</v>
      </c>
      <c r="I14" s="7">
        <f t="shared" si="5"/>
        <v>-135750</v>
      </c>
    </row>
    <row r="15" spans="2:9" x14ac:dyDescent="0.25">
      <c r="B15" s="12">
        <f t="shared" si="6"/>
        <v>250</v>
      </c>
      <c r="C15" s="4">
        <f>IF(Steuerung!$D$20&gt;0,Steuerung!$D$20,Steuerung!$D$23)</f>
        <v>181000</v>
      </c>
      <c r="D15" s="30">
        <f t="shared" si="0"/>
        <v>498.47222222222217</v>
      </c>
      <c r="E15" s="8">
        <f t="shared" si="2"/>
        <v>124618.05555555555</v>
      </c>
      <c r="F15" s="4">
        <f t="shared" si="1"/>
        <v>272.22222222222223</v>
      </c>
      <c r="G15" s="4">
        <f t="shared" si="3"/>
        <v>68055.555555555562</v>
      </c>
      <c r="H15" s="9">
        <f t="shared" si="4"/>
        <v>249055.55555555556</v>
      </c>
      <c r="I15" s="7">
        <f t="shared" si="5"/>
        <v>-124437.50000000001</v>
      </c>
    </row>
    <row r="16" spans="2:9" x14ac:dyDescent="0.25">
      <c r="B16" s="12">
        <f t="shared" si="6"/>
        <v>300</v>
      </c>
      <c r="C16" s="4">
        <f>IF(Steuerung!$D$20&gt;0,Steuerung!$D$20,Steuerung!$D$23)</f>
        <v>181000</v>
      </c>
      <c r="D16" s="30">
        <f t="shared" si="0"/>
        <v>498.47222222222217</v>
      </c>
      <c r="E16" s="8">
        <f t="shared" si="2"/>
        <v>149541.66666666666</v>
      </c>
      <c r="F16" s="4">
        <f t="shared" si="1"/>
        <v>272.22222222222223</v>
      </c>
      <c r="G16" s="4">
        <f t="shared" si="3"/>
        <v>81666.666666666672</v>
      </c>
      <c r="H16" s="9">
        <f t="shared" si="4"/>
        <v>262666.66666666669</v>
      </c>
      <c r="I16" s="7">
        <f t="shared" si="5"/>
        <v>-113125.00000000003</v>
      </c>
    </row>
    <row r="17" spans="2:14" x14ac:dyDescent="0.25">
      <c r="B17" s="12">
        <f t="shared" si="6"/>
        <v>350</v>
      </c>
      <c r="C17" s="4">
        <f>IF(Steuerung!$D$20&gt;0,Steuerung!$D$20,Steuerung!$D$23)</f>
        <v>181000</v>
      </c>
      <c r="D17" s="30">
        <f t="shared" si="0"/>
        <v>498.47222222222217</v>
      </c>
      <c r="E17" s="8">
        <f t="shared" si="2"/>
        <v>174465.27777777775</v>
      </c>
      <c r="F17" s="4">
        <f t="shared" si="1"/>
        <v>272.22222222222223</v>
      </c>
      <c r="G17" s="4">
        <f t="shared" si="3"/>
        <v>95277.777777777781</v>
      </c>
      <c r="H17" s="9">
        <f t="shared" si="4"/>
        <v>276277.77777777775</v>
      </c>
      <c r="I17" s="7">
        <f t="shared" si="5"/>
        <v>-101812.5</v>
      </c>
    </row>
    <row r="18" spans="2:14" x14ac:dyDescent="0.25">
      <c r="B18" s="12">
        <f t="shared" si="6"/>
        <v>400</v>
      </c>
      <c r="C18" s="4">
        <f>IF(Steuerung!$D$20&gt;0,Steuerung!$D$20,Steuerung!$D$23)</f>
        <v>181000</v>
      </c>
      <c r="D18" s="30">
        <f t="shared" si="0"/>
        <v>498.47222222222217</v>
      </c>
      <c r="E18" s="8">
        <f t="shared" si="2"/>
        <v>199388.88888888888</v>
      </c>
      <c r="F18" s="4">
        <f t="shared" si="1"/>
        <v>272.22222222222223</v>
      </c>
      <c r="G18" s="4">
        <f t="shared" si="3"/>
        <v>108888.88888888889</v>
      </c>
      <c r="H18" s="9">
        <f t="shared" si="4"/>
        <v>289888.88888888888</v>
      </c>
      <c r="I18" s="7">
        <f t="shared" si="5"/>
        <v>-90500</v>
      </c>
      <c r="N18" s="6"/>
    </row>
    <row r="19" spans="2:14" x14ac:dyDescent="0.25">
      <c r="B19" s="12">
        <f t="shared" si="6"/>
        <v>450</v>
      </c>
      <c r="C19" s="4">
        <f>IF(Steuerung!$D$20&gt;0,Steuerung!$D$20,Steuerung!$D$23)</f>
        <v>181000</v>
      </c>
      <c r="D19" s="30">
        <f t="shared" si="0"/>
        <v>498.47222222222217</v>
      </c>
      <c r="E19" s="8">
        <f t="shared" si="2"/>
        <v>224312.49999999997</v>
      </c>
      <c r="F19" s="4">
        <f t="shared" si="1"/>
        <v>272.22222222222223</v>
      </c>
      <c r="G19" s="4">
        <f t="shared" si="3"/>
        <v>122500</v>
      </c>
      <c r="H19" s="9">
        <f t="shared" si="4"/>
        <v>303500</v>
      </c>
      <c r="I19" s="7">
        <f t="shared" si="5"/>
        <v>-79187.500000000029</v>
      </c>
    </row>
    <row r="20" spans="2:14" x14ac:dyDescent="0.25">
      <c r="B20" s="12">
        <f t="shared" si="6"/>
        <v>500</v>
      </c>
      <c r="C20" s="4">
        <f>IF(Steuerung!$D$20&gt;0,Steuerung!$D$20,Steuerung!$D$23)</f>
        <v>181000</v>
      </c>
      <c r="D20" s="30">
        <f t="shared" si="0"/>
        <v>498.47222222222217</v>
      </c>
      <c r="E20" s="8">
        <f t="shared" si="2"/>
        <v>249236.11111111109</v>
      </c>
      <c r="F20" s="4">
        <f t="shared" si="1"/>
        <v>272.22222222222223</v>
      </c>
      <c r="G20" s="4">
        <f t="shared" si="3"/>
        <v>136111.11111111112</v>
      </c>
      <c r="H20" s="9">
        <f t="shared" si="4"/>
        <v>317111.11111111112</v>
      </c>
      <c r="I20" s="7">
        <f t="shared" si="5"/>
        <v>-67875.000000000029</v>
      </c>
    </row>
    <row r="21" spans="2:14" x14ac:dyDescent="0.25">
      <c r="B21" s="12">
        <f t="shared" si="6"/>
        <v>550</v>
      </c>
      <c r="C21" s="4">
        <f>IF(Steuerung!$D$20&gt;0,Steuerung!$D$20,Steuerung!$D$23)</f>
        <v>181000</v>
      </c>
      <c r="D21" s="30">
        <f t="shared" si="0"/>
        <v>498.47222222222217</v>
      </c>
      <c r="E21" s="8">
        <f t="shared" si="2"/>
        <v>274159.72222222219</v>
      </c>
      <c r="F21" s="4">
        <f t="shared" si="1"/>
        <v>272.22222222222223</v>
      </c>
      <c r="G21" s="4">
        <f t="shared" si="3"/>
        <v>149722.22222222222</v>
      </c>
      <c r="H21" s="9">
        <f t="shared" si="4"/>
        <v>330722.22222222225</v>
      </c>
      <c r="I21" s="7">
        <f t="shared" si="5"/>
        <v>-56562.500000000058</v>
      </c>
    </row>
    <row r="22" spans="2:14" x14ac:dyDescent="0.25">
      <c r="B22" s="12">
        <f t="shared" si="6"/>
        <v>600</v>
      </c>
      <c r="C22" s="4">
        <f>IF(Steuerung!$D$20&gt;0,Steuerung!$D$20,Steuerung!$D$23)</f>
        <v>181000</v>
      </c>
      <c r="D22" s="30">
        <f t="shared" si="0"/>
        <v>498.47222222222217</v>
      </c>
      <c r="E22" s="8">
        <f t="shared" si="2"/>
        <v>299083.33333333331</v>
      </c>
      <c r="F22" s="4">
        <f t="shared" si="1"/>
        <v>272.22222222222223</v>
      </c>
      <c r="G22" s="4">
        <f t="shared" si="3"/>
        <v>163333.33333333334</v>
      </c>
      <c r="H22" s="9">
        <f t="shared" si="4"/>
        <v>344333.33333333337</v>
      </c>
      <c r="I22" s="7">
        <f t="shared" si="5"/>
        <v>-45250.000000000058</v>
      </c>
    </row>
    <row r="23" spans="2:14" x14ac:dyDescent="0.25">
      <c r="B23" s="12">
        <f t="shared" si="6"/>
        <v>650</v>
      </c>
      <c r="C23" s="4">
        <f>IF(Steuerung!$D$20&gt;0,Steuerung!$D$20,Steuerung!$D$23)</f>
        <v>181000</v>
      </c>
      <c r="D23" s="30">
        <f t="shared" si="0"/>
        <v>498.47222222222217</v>
      </c>
      <c r="E23" s="8">
        <f t="shared" si="2"/>
        <v>324006.94444444444</v>
      </c>
      <c r="F23" s="4">
        <f t="shared" si="1"/>
        <v>272.22222222222223</v>
      </c>
      <c r="G23" s="4">
        <f t="shared" si="3"/>
        <v>176944.44444444444</v>
      </c>
      <c r="H23" s="9">
        <f t="shared" si="4"/>
        <v>357944.44444444444</v>
      </c>
      <c r="I23" s="7">
        <f t="shared" si="5"/>
        <v>-33937.5</v>
      </c>
    </row>
    <row r="24" spans="2:14" x14ac:dyDescent="0.25">
      <c r="B24" s="12">
        <f t="shared" si="6"/>
        <v>700</v>
      </c>
      <c r="C24" s="4">
        <f>IF(Steuerung!$D$20&gt;0,Steuerung!$D$20,Steuerung!$D$23)</f>
        <v>181000</v>
      </c>
      <c r="D24" s="30">
        <f t="shared" si="0"/>
        <v>498.47222222222217</v>
      </c>
      <c r="E24" s="8">
        <f t="shared" si="2"/>
        <v>348930.5555555555</v>
      </c>
      <c r="F24" s="4">
        <f t="shared" si="1"/>
        <v>272.22222222222223</v>
      </c>
      <c r="G24" s="4">
        <f t="shared" si="3"/>
        <v>190555.55555555556</v>
      </c>
      <c r="H24" s="9">
        <f t="shared" si="4"/>
        <v>371555.55555555556</v>
      </c>
      <c r="I24" s="7">
        <f t="shared" si="5"/>
        <v>-22625.000000000058</v>
      </c>
    </row>
    <row r="25" spans="2:14" x14ac:dyDescent="0.25">
      <c r="B25" s="12">
        <f t="shared" si="6"/>
        <v>750</v>
      </c>
      <c r="C25" s="4">
        <f>IF(Steuerung!$D$20&gt;0,Steuerung!$D$20,Steuerung!$D$23)</f>
        <v>181000</v>
      </c>
      <c r="D25" s="30">
        <f t="shared" si="0"/>
        <v>498.47222222222217</v>
      </c>
      <c r="E25" s="8">
        <f t="shared" si="2"/>
        <v>373854.16666666663</v>
      </c>
      <c r="F25" s="4">
        <f t="shared" si="1"/>
        <v>272.22222222222223</v>
      </c>
      <c r="G25" s="4">
        <f t="shared" si="3"/>
        <v>204166.66666666666</v>
      </c>
      <c r="H25" s="9">
        <f t="shared" si="4"/>
        <v>385166.66666666663</v>
      </c>
      <c r="I25" s="7">
        <f t="shared" si="5"/>
        <v>-11312.5</v>
      </c>
    </row>
    <row r="26" spans="2:14" x14ac:dyDescent="0.25">
      <c r="B26" s="12">
        <f t="shared" si="6"/>
        <v>800</v>
      </c>
      <c r="C26" s="4">
        <f>IF(Steuerung!$D$20&gt;0,Steuerung!$D$20,Steuerung!$D$23)</f>
        <v>181000</v>
      </c>
      <c r="D26" s="30">
        <f t="shared" si="0"/>
        <v>498.47222222222217</v>
      </c>
      <c r="E26" s="8">
        <f t="shared" si="2"/>
        <v>398777.77777777775</v>
      </c>
      <c r="F26" s="4">
        <f t="shared" si="1"/>
        <v>272.22222222222223</v>
      </c>
      <c r="G26" s="4">
        <f t="shared" si="3"/>
        <v>217777.77777777778</v>
      </c>
      <c r="H26" s="9">
        <f t="shared" si="4"/>
        <v>398777.77777777775</v>
      </c>
      <c r="I26" s="7">
        <f t="shared" si="5"/>
        <v>0</v>
      </c>
    </row>
    <row r="27" spans="2:14" x14ac:dyDescent="0.25">
      <c r="B27" s="12">
        <f t="shared" si="6"/>
        <v>850</v>
      </c>
      <c r="C27" s="4">
        <f>IF(Steuerung!$D$20&gt;0,Steuerung!$D$20,Steuerung!$D$23)</f>
        <v>181000</v>
      </c>
      <c r="D27" s="30">
        <f t="shared" si="0"/>
        <v>498.47222222222217</v>
      </c>
      <c r="E27" s="8">
        <f t="shared" si="2"/>
        <v>423701.38888888882</v>
      </c>
      <c r="F27" s="4">
        <f t="shared" si="1"/>
        <v>272.22222222222223</v>
      </c>
      <c r="G27" s="4">
        <f t="shared" si="3"/>
        <v>231388.88888888891</v>
      </c>
      <c r="H27" s="9">
        <f t="shared" si="4"/>
        <v>412388.88888888888</v>
      </c>
      <c r="I27" s="7">
        <f t="shared" si="5"/>
        <v>11312.499999999942</v>
      </c>
    </row>
    <row r="28" spans="2:14" x14ac:dyDescent="0.25">
      <c r="B28" s="12">
        <f t="shared" si="6"/>
        <v>900</v>
      </c>
      <c r="C28" s="4">
        <f>IF(Steuerung!$D$20&gt;0,Steuerung!$D$20,Steuerung!$D$23)</f>
        <v>181000</v>
      </c>
      <c r="D28" s="30">
        <f t="shared" si="0"/>
        <v>498.47222222222217</v>
      </c>
      <c r="E28" s="8">
        <f t="shared" si="2"/>
        <v>448624.99999999994</v>
      </c>
      <c r="F28" s="4">
        <f t="shared" si="1"/>
        <v>272.22222222222223</v>
      </c>
      <c r="G28" s="4">
        <f t="shared" si="3"/>
        <v>245000</v>
      </c>
      <c r="H28" s="9">
        <f t="shared" si="4"/>
        <v>426000</v>
      </c>
      <c r="I28" s="7">
        <f t="shared" si="5"/>
        <v>22624.999999999942</v>
      </c>
    </row>
    <row r="29" spans="2:14" x14ac:dyDescent="0.25">
      <c r="B29" s="12">
        <f t="shared" si="6"/>
        <v>950</v>
      </c>
      <c r="C29" s="4">
        <f>IF(Steuerung!$D$20&gt;0,Steuerung!$D$20,Steuerung!$D$23)</f>
        <v>181000</v>
      </c>
      <c r="D29" s="30">
        <f t="shared" si="0"/>
        <v>498.47222222222217</v>
      </c>
      <c r="E29" s="8">
        <f t="shared" si="2"/>
        <v>473548.61111111107</v>
      </c>
      <c r="F29" s="4">
        <f t="shared" si="1"/>
        <v>272.22222222222223</v>
      </c>
      <c r="G29" s="4">
        <f t="shared" si="3"/>
        <v>258611.11111111112</v>
      </c>
      <c r="H29" s="9">
        <f t="shared" si="4"/>
        <v>439611.11111111112</v>
      </c>
      <c r="I29" s="7">
        <f t="shared" si="5"/>
        <v>33937.499999999942</v>
      </c>
    </row>
    <row r="30" spans="2:14" x14ac:dyDescent="0.25">
      <c r="B30" s="12">
        <f>Steuerung!D4</f>
        <v>1000</v>
      </c>
      <c r="C30" s="4">
        <f>IF(Steuerung!$D$20&gt;0,Steuerung!$D$20,Steuerung!$D$23)</f>
        <v>181000</v>
      </c>
      <c r="D30" s="30">
        <f t="shared" si="0"/>
        <v>498.47222222222217</v>
      </c>
      <c r="E30" s="8">
        <f t="shared" si="2"/>
        <v>498472.22222222219</v>
      </c>
      <c r="F30" s="4">
        <f t="shared" si="1"/>
        <v>272.22222222222223</v>
      </c>
      <c r="G30" s="4">
        <f t="shared" si="3"/>
        <v>272222.22222222225</v>
      </c>
      <c r="H30" s="9">
        <f t="shared" si="4"/>
        <v>453222.22222222225</v>
      </c>
      <c r="I30" s="7">
        <f t="shared" si="5"/>
        <v>45249.999999999942</v>
      </c>
    </row>
  </sheetData>
  <mergeCells count="9">
    <mergeCell ref="I8:I9"/>
    <mergeCell ref="B8:B9"/>
    <mergeCell ref="F4:G4"/>
    <mergeCell ref="C8:C9"/>
    <mergeCell ref="D8:D9"/>
    <mergeCell ref="E8:E9"/>
    <mergeCell ref="F8:F9"/>
    <mergeCell ref="G8:G9"/>
    <mergeCell ref="H8:H9"/>
  </mergeCells>
  <conditionalFormatting sqref="I10:I30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workbookViewId="0"/>
  </sheetViews>
  <sheetFormatPr baseColWidth="10" defaultRowHeight="15" x14ac:dyDescent="0.25"/>
  <cols>
    <col min="1" max="1" width="2.85546875" customWidth="1"/>
    <col min="2" max="2" width="19" customWidth="1"/>
    <col min="3" max="3" width="15.85546875" customWidth="1"/>
    <col min="4" max="4" width="17.5703125" customWidth="1"/>
    <col min="5" max="6" width="16.140625" customWidth="1"/>
    <col min="7" max="7" width="17.5703125" customWidth="1"/>
    <col min="8" max="8" width="15.28515625" customWidth="1"/>
    <col min="9" max="9" width="14.28515625" customWidth="1"/>
    <col min="10" max="10" width="13.5703125" customWidth="1"/>
    <col min="11" max="11" width="3.7109375" customWidth="1"/>
    <col min="12" max="12" width="33.7109375" style="5" customWidth="1"/>
    <col min="13" max="13" width="14.28515625" style="2" customWidth="1"/>
  </cols>
  <sheetData>
    <row r="2" spans="2:13" ht="25.5" x14ac:dyDescent="0.35">
      <c r="B2" s="20" t="s">
        <v>75</v>
      </c>
    </row>
    <row r="4" spans="2:13" x14ac:dyDescent="0.25">
      <c r="B4" s="35" t="s">
        <v>79</v>
      </c>
      <c r="C4" s="38"/>
      <c r="D4" s="38"/>
      <c r="E4" s="36"/>
      <c r="F4" s="39" t="s">
        <v>78</v>
      </c>
      <c r="G4" s="85"/>
    </row>
    <row r="5" spans="2:13" x14ac:dyDescent="0.25">
      <c r="B5" s="37" t="s">
        <v>80</v>
      </c>
      <c r="C5" s="34"/>
      <c r="D5" s="34"/>
      <c r="E5" s="41"/>
      <c r="F5" s="40">
        <v>600</v>
      </c>
      <c r="G5" s="86"/>
    </row>
    <row r="6" spans="2:13" x14ac:dyDescent="0.25">
      <c r="H6" t="s">
        <v>101</v>
      </c>
      <c r="I6" t="s">
        <v>103</v>
      </c>
      <c r="J6" t="s">
        <v>105</v>
      </c>
    </row>
    <row r="7" spans="2:13" x14ac:dyDescent="0.25">
      <c r="B7" s="33" t="s">
        <v>77</v>
      </c>
      <c r="C7" s="33" t="s">
        <v>17</v>
      </c>
      <c r="D7" s="33" t="s">
        <v>18</v>
      </c>
      <c r="E7" s="33" t="s">
        <v>19</v>
      </c>
      <c r="F7" s="33" t="s">
        <v>20</v>
      </c>
      <c r="G7" s="33" t="s">
        <v>18</v>
      </c>
      <c r="H7" s="87" t="s">
        <v>102</v>
      </c>
      <c r="I7" s="87" t="s">
        <v>104</v>
      </c>
      <c r="J7" s="87" t="s">
        <v>106</v>
      </c>
      <c r="K7" s="88"/>
      <c r="L7" s="42" t="s">
        <v>90</v>
      </c>
      <c r="M7" s="43"/>
    </row>
    <row r="8" spans="2:13" x14ac:dyDescent="0.25">
      <c r="B8" s="12">
        <f>Berechnungen!B10</f>
        <v>0</v>
      </c>
      <c r="C8" s="4">
        <f>Berechnungen!C10</f>
        <v>181000</v>
      </c>
      <c r="D8" s="50">
        <f>Berechnungen!E10</f>
        <v>0</v>
      </c>
      <c r="E8" s="51">
        <f>Berechnungen!H10</f>
        <v>181000</v>
      </c>
      <c r="F8" s="64"/>
      <c r="G8" s="50" t="str">
        <f>IF(F8&gt;0,Berechnungen!H10,"")</f>
        <v/>
      </c>
      <c r="H8" s="2" t="str">
        <f>IF(F8&gt;0,$M$20*-1,"")</f>
        <v/>
      </c>
      <c r="I8" s="2" t="str">
        <f>IF(F8&gt;0,$M$24,"")</f>
        <v/>
      </c>
      <c r="J8" s="2" t="str">
        <f>IF(F8&gt;0,H8+I8,"")</f>
        <v/>
      </c>
      <c r="L8" s="44" t="s">
        <v>91</v>
      </c>
      <c r="M8" s="45"/>
    </row>
    <row r="9" spans="2:13" x14ac:dyDescent="0.25">
      <c r="B9" s="12">
        <f>Berechnungen!B11</f>
        <v>50</v>
      </c>
      <c r="C9" s="4">
        <f>Berechnungen!C11</f>
        <v>181000</v>
      </c>
      <c r="D9" s="50">
        <f>Berechnungen!E11</f>
        <v>24923.611111111109</v>
      </c>
      <c r="E9" s="51">
        <f>Berechnungen!H11</f>
        <v>194611.11111111112</v>
      </c>
      <c r="F9" s="64"/>
      <c r="G9" s="50" t="str">
        <f>IF(F9&gt;0,Berechnungen!H11,"")</f>
        <v/>
      </c>
      <c r="H9" s="2" t="str">
        <f t="shared" ref="H9:H28" si="0">IF(F9&gt;0,$M$20*-1,"")</f>
        <v/>
      </c>
      <c r="I9" s="2" t="str">
        <f t="shared" ref="I9:I28" si="1">IF(F9&gt;0,$M$24,"")</f>
        <v/>
      </c>
      <c r="J9" s="2" t="str">
        <f t="shared" ref="J9:J28" si="2">IF(F9&gt;0,H9+I9,"")</f>
        <v/>
      </c>
      <c r="L9" s="46" t="s">
        <v>92</v>
      </c>
      <c r="M9" s="47"/>
    </row>
    <row r="10" spans="2:13" x14ac:dyDescent="0.25">
      <c r="B10" s="12">
        <f>Berechnungen!B12</f>
        <v>100</v>
      </c>
      <c r="C10" s="4">
        <f>Berechnungen!C12</f>
        <v>181000</v>
      </c>
      <c r="D10" s="50">
        <f>Berechnungen!E12</f>
        <v>49847.222222222219</v>
      </c>
      <c r="E10" s="51">
        <f>Berechnungen!H12</f>
        <v>208222.22222222222</v>
      </c>
      <c r="F10" s="64"/>
      <c r="G10" s="50" t="str">
        <f>IF(F10&gt;0,Berechnungen!H12,"")</f>
        <v/>
      </c>
      <c r="H10" s="2" t="str">
        <f t="shared" si="0"/>
        <v/>
      </c>
      <c r="I10" s="2" t="str">
        <f t="shared" si="1"/>
        <v/>
      </c>
      <c r="J10" s="2" t="str">
        <f t="shared" si="2"/>
        <v/>
      </c>
      <c r="L10" s="46" t="s">
        <v>93</v>
      </c>
      <c r="M10" s="47"/>
    </row>
    <row r="11" spans="2:13" x14ac:dyDescent="0.25">
      <c r="B11" s="12">
        <f>Berechnungen!B13</f>
        <v>150</v>
      </c>
      <c r="C11" s="4">
        <f>Berechnungen!C13</f>
        <v>181000</v>
      </c>
      <c r="D11" s="50">
        <f>Berechnungen!E13</f>
        <v>74770.833333333328</v>
      </c>
      <c r="E11" s="51">
        <f>Berechnungen!H13</f>
        <v>221833.33333333334</v>
      </c>
      <c r="F11" s="64"/>
      <c r="G11" s="50" t="str">
        <f>IF(F11&gt;0,Berechnungen!H13,"")</f>
        <v/>
      </c>
      <c r="H11" s="2" t="str">
        <f t="shared" si="0"/>
        <v/>
      </c>
      <c r="I11" s="2" t="str">
        <f t="shared" si="1"/>
        <v/>
      </c>
      <c r="J11" s="2" t="str">
        <f t="shared" si="2"/>
        <v/>
      </c>
      <c r="L11" s="46" t="s">
        <v>94</v>
      </c>
      <c r="M11" s="47"/>
    </row>
    <row r="12" spans="2:13" x14ac:dyDescent="0.25">
      <c r="B12" s="12">
        <f>Berechnungen!B14</f>
        <v>200</v>
      </c>
      <c r="C12" s="4">
        <f>Berechnungen!C14</f>
        <v>181000</v>
      </c>
      <c r="D12" s="50">
        <f>Berechnungen!E14</f>
        <v>99694.444444444438</v>
      </c>
      <c r="E12" s="51">
        <f>Berechnungen!H14</f>
        <v>235444.44444444444</v>
      </c>
      <c r="F12" s="64"/>
      <c r="G12" s="50" t="str">
        <f>IF(F12&gt;0,Berechnungen!H14,"")</f>
        <v/>
      </c>
      <c r="H12" s="2" t="str">
        <f t="shared" si="0"/>
        <v/>
      </c>
      <c r="I12" s="2" t="str">
        <f t="shared" si="1"/>
        <v/>
      </c>
      <c r="J12" s="2" t="str">
        <f t="shared" si="2"/>
        <v/>
      </c>
      <c r="L12" s="48" t="s">
        <v>95</v>
      </c>
      <c r="M12" s="49"/>
    </row>
    <row r="13" spans="2:13" x14ac:dyDescent="0.25">
      <c r="B13" s="12">
        <f>Berechnungen!B15</f>
        <v>250</v>
      </c>
      <c r="C13" s="4">
        <f>Berechnungen!C15</f>
        <v>181000</v>
      </c>
      <c r="D13" s="50">
        <f>Berechnungen!E15</f>
        <v>124618.05555555555</v>
      </c>
      <c r="E13" s="51">
        <f>Berechnungen!H15</f>
        <v>249055.55555555556</v>
      </c>
      <c r="F13" s="64"/>
      <c r="G13" s="50" t="str">
        <f>IF(F13&gt;0,Berechnungen!H15,"")</f>
        <v/>
      </c>
      <c r="H13" s="2" t="str">
        <f t="shared" si="0"/>
        <v/>
      </c>
      <c r="I13" s="2" t="str">
        <f t="shared" si="1"/>
        <v/>
      </c>
      <c r="J13" s="2" t="str">
        <f t="shared" si="2"/>
        <v/>
      </c>
    </row>
    <row r="14" spans="2:13" x14ac:dyDescent="0.25">
      <c r="B14" s="12">
        <f>Berechnungen!B16</f>
        <v>300</v>
      </c>
      <c r="C14" s="4">
        <f>Berechnungen!C16</f>
        <v>181000</v>
      </c>
      <c r="D14" s="50">
        <f>Berechnungen!E16</f>
        <v>149541.66666666666</v>
      </c>
      <c r="E14" s="51">
        <f>Berechnungen!H16</f>
        <v>262666.66666666669</v>
      </c>
      <c r="F14" s="64"/>
      <c r="G14" s="50" t="str">
        <f>IF(F14&gt;0,Berechnungen!H16,"")</f>
        <v/>
      </c>
      <c r="H14" s="2" t="str">
        <f t="shared" si="0"/>
        <v/>
      </c>
      <c r="I14" s="2" t="str">
        <f t="shared" si="1"/>
        <v/>
      </c>
      <c r="J14" s="2" t="str">
        <f t="shared" si="2"/>
        <v/>
      </c>
      <c r="L14" s="54" t="s">
        <v>83</v>
      </c>
      <c r="M14" s="8">
        <f>VLOOKUP($F$5,$B$8:$E$28,3)</f>
        <v>299083.33333333331</v>
      </c>
    </row>
    <row r="15" spans="2:13" x14ac:dyDescent="0.25">
      <c r="B15" s="12">
        <f>Berechnungen!B17</f>
        <v>350</v>
      </c>
      <c r="C15" s="4">
        <f>Berechnungen!C17</f>
        <v>181000</v>
      </c>
      <c r="D15" s="50">
        <f>Berechnungen!E17</f>
        <v>174465.27777777775</v>
      </c>
      <c r="E15" s="51">
        <f>Berechnungen!H17</f>
        <v>276277.77777777775</v>
      </c>
      <c r="F15" s="64"/>
      <c r="G15" s="50" t="str">
        <f>IF(F15&gt;0,Berechnungen!H17,"")</f>
        <v/>
      </c>
      <c r="H15" s="2" t="str">
        <f t="shared" si="0"/>
        <v/>
      </c>
      <c r="I15" s="2" t="str">
        <f t="shared" si="1"/>
        <v/>
      </c>
      <c r="J15" s="2" t="str">
        <f t="shared" si="2"/>
        <v/>
      </c>
      <c r="L15" s="65" t="s">
        <v>82</v>
      </c>
      <c r="M15" s="64">
        <f>VLOOKUP($F$5,$B$8:$F$28,5)</f>
        <v>400000</v>
      </c>
    </row>
    <row r="16" spans="2:13" x14ac:dyDescent="0.25">
      <c r="B16" s="12">
        <f>Berechnungen!B18</f>
        <v>400</v>
      </c>
      <c r="C16" s="4">
        <f>Berechnungen!C18</f>
        <v>181000</v>
      </c>
      <c r="D16" s="50">
        <f>Berechnungen!E18</f>
        <v>199388.88888888888</v>
      </c>
      <c r="E16" s="51">
        <f>Berechnungen!H18</f>
        <v>289888.88888888888</v>
      </c>
      <c r="F16" s="64"/>
      <c r="G16" s="50" t="str">
        <f>IF(F16&gt;0,Berechnungen!H18,"")</f>
        <v/>
      </c>
      <c r="H16" s="2" t="str">
        <f t="shared" si="0"/>
        <v/>
      </c>
      <c r="I16" s="2" t="str">
        <f t="shared" si="1"/>
        <v/>
      </c>
      <c r="J16" s="2" t="str">
        <f t="shared" si="2"/>
        <v/>
      </c>
      <c r="L16" s="52" t="s">
        <v>81</v>
      </c>
      <c r="M16" s="53">
        <f>M14-M15</f>
        <v>-100916.66666666669</v>
      </c>
    </row>
    <row r="17" spans="2:13" x14ac:dyDescent="0.25">
      <c r="B17" s="12">
        <f>Berechnungen!B19</f>
        <v>450</v>
      </c>
      <c r="C17" s="4">
        <f>Berechnungen!C19</f>
        <v>181000</v>
      </c>
      <c r="D17" s="50">
        <f>Berechnungen!E19</f>
        <v>224312.49999999997</v>
      </c>
      <c r="E17" s="51">
        <f>Berechnungen!H19</f>
        <v>303500</v>
      </c>
      <c r="F17" s="64"/>
      <c r="G17" s="50" t="str">
        <f>IF(F17&gt;0,Berechnungen!H19,"")</f>
        <v/>
      </c>
      <c r="H17" s="2" t="str">
        <f t="shared" si="0"/>
        <v/>
      </c>
      <c r="I17" s="2" t="str">
        <f t="shared" si="1"/>
        <v/>
      </c>
      <c r="J17" s="2" t="str">
        <f t="shared" si="2"/>
        <v/>
      </c>
      <c r="L17" s="55"/>
      <c r="M17" s="56"/>
    </row>
    <row r="18" spans="2:13" x14ac:dyDescent="0.25">
      <c r="B18" s="12">
        <f>Berechnungen!B20</f>
        <v>500</v>
      </c>
      <c r="C18" s="4">
        <f>Berechnungen!C20</f>
        <v>181000</v>
      </c>
      <c r="D18" s="50">
        <f>Berechnungen!E20</f>
        <v>249236.11111111109</v>
      </c>
      <c r="E18" s="51">
        <f>Berechnungen!H20</f>
        <v>317111.11111111112</v>
      </c>
      <c r="F18" s="64"/>
      <c r="G18" s="50" t="str">
        <f>IF(F18&gt;0,Berechnungen!H20,"")</f>
        <v/>
      </c>
      <c r="H18" s="2" t="str">
        <f t="shared" si="0"/>
        <v/>
      </c>
      <c r="I18" s="2" t="str">
        <f t="shared" si="1"/>
        <v/>
      </c>
      <c r="J18" s="2" t="str">
        <f t="shared" si="2"/>
        <v/>
      </c>
      <c r="L18" s="54" t="s">
        <v>83</v>
      </c>
      <c r="M18" s="8">
        <f>M14</f>
        <v>299083.33333333331</v>
      </c>
    </row>
    <row r="19" spans="2:13" x14ac:dyDescent="0.25">
      <c r="B19" s="12">
        <f>Berechnungen!B21</f>
        <v>550</v>
      </c>
      <c r="C19" s="4">
        <f>Berechnungen!C21</f>
        <v>181000</v>
      </c>
      <c r="D19" s="50">
        <f>Berechnungen!E21</f>
        <v>274159.72222222219</v>
      </c>
      <c r="E19" s="51">
        <f>Berechnungen!H21</f>
        <v>330722.22222222225</v>
      </c>
      <c r="F19" s="64"/>
      <c r="G19" s="50" t="str">
        <f>IF(F19&gt;0,Berechnungen!H21,"")</f>
        <v/>
      </c>
      <c r="H19" s="2" t="str">
        <f t="shared" si="0"/>
        <v/>
      </c>
      <c r="I19" s="2" t="str">
        <f t="shared" si="1"/>
        <v/>
      </c>
      <c r="J19" s="2" t="str">
        <f t="shared" si="2"/>
        <v/>
      </c>
      <c r="L19" s="57" t="s">
        <v>84</v>
      </c>
      <c r="M19" s="9">
        <f>VLOOKUP($F$5,$B$8:$E$28,4)</f>
        <v>344333.33333333337</v>
      </c>
    </row>
    <row r="20" spans="2:13" x14ac:dyDescent="0.25">
      <c r="B20" s="12">
        <f>Berechnungen!B22</f>
        <v>600</v>
      </c>
      <c r="C20" s="4">
        <f>Berechnungen!C22</f>
        <v>181000</v>
      </c>
      <c r="D20" s="50">
        <f>Berechnungen!E22</f>
        <v>299083.33333333331</v>
      </c>
      <c r="E20" s="51">
        <f>Berechnungen!H22</f>
        <v>344333.33333333337</v>
      </c>
      <c r="F20" s="64">
        <v>400000</v>
      </c>
      <c r="G20" s="50">
        <f>IF(F20&gt;0,Berechnungen!H22,"")</f>
        <v>344333.33333333337</v>
      </c>
      <c r="H20" s="2">
        <f t="shared" si="0"/>
        <v>45250.000000000058</v>
      </c>
      <c r="I20" s="2">
        <f t="shared" si="1"/>
        <v>55666.666666666628</v>
      </c>
      <c r="J20" s="2">
        <f t="shared" si="2"/>
        <v>100916.66666666669</v>
      </c>
      <c r="L20" s="58" t="s">
        <v>85</v>
      </c>
      <c r="M20" s="59">
        <f>M18-M19</f>
        <v>-45250.000000000058</v>
      </c>
    </row>
    <row r="21" spans="2:13" x14ac:dyDescent="0.25">
      <c r="B21" s="12">
        <f>Berechnungen!B23</f>
        <v>650</v>
      </c>
      <c r="C21" s="4">
        <f>Berechnungen!C23</f>
        <v>181000</v>
      </c>
      <c r="D21" s="50">
        <f>Berechnungen!E23</f>
        <v>324006.94444444444</v>
      </c>
      <c r="E21" s="51">
        <f>Berechnungen!H23</f>
        <v>357944.44444444444</v>
      </c>
      <c r="F21" s="64"/>
      <c r="G21" s="50" t="str">
        <f>IF(F21&gt;0,Berechnungen!H23,"")</f>
        <v/>
      </c>
      <c r="H21" s="2" t="str">
        <f t="shared" si="0"/>
        <v/>
      </c>
      <c r="I21" s="2" t="str">
        <f t="shared" si="1"/>
        <v/>
      </c>
      <c r="J21" s="2" t="str">
        <f t="shared" si="2"/>
        <v/>
      </c>
      <c r="L21" s="55"/>
      <c r="M21" s="56"/>
    </row>
    <row r="22" spans="2:13" x14ac:dyDescent="0.25">
      <c r="B22" s="12">
        <f>Berechnungen!B24</f>
        <v>700</v>
      </c>
      <c r="C22" s="4">
        <f>Berechnungen!C24</f>
        <v>181000</v>
      </c>
      <c r="D22" s="50">
        <f>Berechnungen!E24</f>
        <v>348930.5555555555</v>
      </c>
      <c r="E22" s="51">
        <f>Berechnungen!H24</f>
        <v>371555.55555555556</v>
      </c>
      <c r="F22" s="64"/>
      <c r="G22" s="50" t="str">
        <f>IF(F22&gt;0,Berechnungen!H24,"")</f>
        <v/>
      </c>
      <c r="H22" s="2" t="str">
        <f t="shared" si="0"/>
        <v/>
      </c>
      <c r="I22" s="2" t="str">
        <f t="shared" si="1"/>
        <v/>
      </c>
      <c r="J22" s="2" t="str">
        <f t="shared" si="2"/>
        <v/>
      </c>
      <c r="L22" s="65" t="s">
        <v>86</v>
      </c>
      <c r="M22" s="64">
        <f>VLOOKUP($F$5,$B$8:$F$28,5)</f>
        <v>400000</v>
      </c>
    </row>
    <row r="23" spans="2:13" x14ac:dyDescent="0.25">
      <c r="B23" s="12">
        <f>Berechnungen!B25</f>
        <v>750</v>
      </c>
      <c r="C23" s="4">
        <f>Berechnungen!C25</f>
        <v>181000</v>
      </c>
      <c r="D23" s="50">
        <f>Berechnungen!E25</f>
        <v>373854.16666666663</v>
      </c>
      <c r="E23" s="51">
        <f>Berechnungen!H25</f>
        <v>385166.66666666663</v>
      </c>
      <c r="F23" s="64"/>
      <c r="G23" s="50" t="str">
        <f>IF(F23&gt;0,Berechnungen!H25,"")</f>
        <v/>
      </c>
      <c r="H23" s="2" t="str">
        <f t="shared" si="0"/>
        <v/>
      </c>
      <c r="I23" s="2" t="str">
        <f t="shared" si="1"/>
        <v/>
      </c>
      <c r="J23" s="2" t="str">
        <f t="shared" si="2"/>
        <v/>
      </c>
      <c r="L23" s="57" t="s">
        <v>84</v>
      </c>
      <c r="M23" s="9">
        <f>VLOOKUP($F$5,$B$8:$E$28,4)</f>
        <v>344333.33333333337</v>
      </c>
    </row>
    <row r="24" spans="2:13" x14ac:dyDescent="0.25">
      <c r="B24" s="12">
        <f>Berechnungen!B26</f>
        <v>800</v>
      </c>
      <c r="C24" s="4">
        <f>Berechnungen!C26</f>
        <v>181000</v>
      </c>
      <c r="D24" s="50">
        <f>Berechnungen!E26</f>
        <v>398777.77777777775</v>
      </c>
      <c r="E24" s="51">
        <f>Berechnungen!H26</f>
        <v>398777.77777777775</v>
      </c>
      <c r="F24" s="64"/>
      <c r="G24" s="50" t="str">
        <f>IF(F24&gt;0,Berechnungen!H26,"")</f>
        <v/>
      </c>
      <c r="H24" s="2" t="str">
        <f t="shared" si="0"/>
        <v/>
      </c>
      <c r="I24" s="2" t="str">
        <f t="shared" si="1"/>
        <v/>
      </c>
      <c r="J24" s="2" t="str">
        <f t="shared" si="2"/>
        <v/>
      </c>
      <c r="L24" s="60" t="s">
        <v>87</v>
      </c>
      <c r="M24" s="61">
        <f>M22-M23</f>
        <v>55666.666666666628</v>
      </c>
    </row>
    <row r="25" spans="2:13" x14ac:dyDescent="0.25">
      <c r="B25" s="12">
        <f>Berechnungen!B27</f>
        <v>850</v>
      </c>
      <c r="C25" s="4">
        <f>Berechnungen!C27</f>
        <v>181000</v>
      </c>
      <c r="D25" s="50">
        <f>Berechnungen!E27</f>
        <v>423701.38888888882</v>
      </c>
      <c r="E25" s="51">
        <f>Berechnungen!H27</f>
        <v>412388.88888888888</v>
      </c>
      <c r="F25" s="64"/>
      <c r="G25" s="50" t="str">
        <f>IF(F25&gt;0,Berechnungen!H27,"")</f>
        <v/>
      </c>
      <c r="H25" s="2" t="str">
        <f t="shared" si="0"/>
        <v/>
      </c>
      <c r="I25" s="2" t="str">
        <f t="shared" si="1"/>
        <v/>
      </c>
      <c r="J25" s="2" t="str">
        <f t="shared" si="2"/>
        <v/>
      </c>
      <c r="L25" s="55"/>
      <c r="M25" s="56"/>
    </row>
    <row r="26" spans="2:13" x14ac:dyDescent="0.25">
      <c r="B26" s="12">
        <f>Berechnungen!B28</f>
        <v>900</v>
      </c>
      <c r="C26" s="4">
        <f>Berechnungen!C28</f>
        <v>181000</v>
      </c>
      <c r="D26" s="50">
        <f>Berechnungen!E28</f>
        <v>448624.99999999994</v>
      </c>
      <c r="E26" s="51">
        <f>Berechnungen!H28</f>
        <v>426000</v>
      </c>
      <c r="F26" s="64"/>
      <c r="G26" s="50" t="str">
        <f>IF(F26&gt;0,Berechnungen!H28,"")</f>
        <v/>
      </c>
      <c r="H26" s="2" t="str">
        <f t="shared" si="0"/>
        <v/>
      </c>
      <c r="I26" s="2" t="str">
        <f t="shared" si="1"/>
        <v/>
      </c>
      <c r="J26" s="2" t="str">
        <f t="shared" si="2"/>
        <v/>
      </c>
      <c r="L26" s="62" t="s">
        <v>88</v>
      </c>
      <c r="M26" s="63">
        <f>M20</f>
        <v>-45250.000000000058</v>
      </c>
    </row>
    <row r="27" spans="2:13" x14ac:dyDescent="0.25">
      <c r="B27" s="12">
        <f>Berechnungen!B29</f>
        <v>950</v>
      </c>
      <c r="C27" s="4">
        <f>Berechnungen!C29</f>
        <v>181000</v>
      </c>
      <c r="D27" s="50">
        <f>Berechnungen!E29</f>
        <v>473548.61111111107</v>
      </c>
      <c r="E27" s="51">
        <f>Berechnungen!H29</f>
        <v>439611.11111111112</v>
      </c>
      <c r="F27" s="64"/>
      <c r="G27" s="50" t="str">
        <f>IF(F27&gt;0,Berechnungen!H29,"")</f>
        <v/>
      </c>
      <c r="H27" s="2" t="str">
        <f t="shared" si="0"/>
        <v/>
      </c>
      <c r="I27" s="2" t="str">
        <f t="shared" si="1"/>
        <v/>
      </c>
      <c r="J27" s="2" t="str">
        <f t="shared" si="2"/>
        <v/>
      </c>
      <c r="L27" s="60" t="s">
        <v>89</v>
      </c>
      <c r="M27" s="61">
        <f>M24*-1</f>
        <v>-55666.666666666628</v>
      </c>
    </row>
    <row r="28" spans="2:13" x14ac:dyDescent="0.25">
      <c r="B28" s="12">
        <f>Berechnungen!B30</f>
        <v>1000</v>
      </c>
      <c r="C28" s="4">
        <f>Berechnungen!C30</f>
        <v>181000</v>
      </c>
      <c r="D28" s="50">
        <f>Berechnungen!E30</f>
        <v>498472.22222222219</v>
      </c>
      <c r="E28" s="51">
        <f>Berechnungen!H30</f>
        <v>453222.22222222225</v>
      </c>
      <c r="F28" s="64"/>
      <c r="G28" s="50" t="str">
        <f>IF(F28&gt;0,Berechnungen!H30,"")</f>
        <v/>
      </c>
      <c r="H28" s="2" t="str">
        <f t="shared" si="0"/>
        <v/>
      </c>
      <c r="I28" s="2" t="str">
        <f t="shared" si="1"/>
        <v/>
      </c>
      <c r="J28" s="2" t="str">
        <f t="shared" si="2"/>
        <v/>
      </c>
      <c r="L28" s="52" t="s">
        <v>81</v>
      </c>
      <c r="M28" s="53">
        <f>M16</f>
        <v>-100916.66666666669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5" x14ac:dyDescent="0.25"/>
  <cols>
    <col min="1" max="1" width="2.140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workbookViewId="0"/>
  </sheetViews>
  <sheetFormatPr baseColWidth="10" defaultRowHeight="15" x14ac:dyDescent="0.25"/>
  <cols>
    <col min="1" max="1" width="3" customWidth="1"/>
    <col min="2" max="2" width="38.5703125" customWidth="1"/>
    <col min="4" max="4" width="5.140625" customWidth="1"/>
    <col min="5" max="5" width="27.140625" customWidth="1"/>
  </cols>
  <sheetData>
    <row r="2" spans="2:6" ht="25.5" x14ac:dyDescent="0.35">
      <c r="B2" s="20" t="s">
        <v>96</v>
      </c>
    </row>
    <row r="3" spans="2:6" ht="6.75" customHeight="1" x14ac:dyDescent="0.25"/>
    <row r="4" spans="2:6" x14ac:dyDescent="0.25">
      <c r="B4" s="78" t="s">
        <v>97</v>
      </c>
      <c r="C4" s="79"/>
    </row>
    <row r="5" spans="2:6" x14ac:dyDescent="0.25">
      <c r="B5" s="80" t="s">
        <v>98</v>
      </c>
      <c r="C5" s="81"/>
    </row>
    <row r="6" spans="2:6" x14ac:dyDescent="0.25">
      <c r="B6" s="24" t="s">
        <v>76</v>
      </c>
      <c r="C6" s="19">
        <v>80000</v>
      </c>
      <c r="E6" s="75"/>
      <c r="F6" s="75"/>
    </row>
    <row r="7" spans="2:6" x14ac:dyDescent="0.25">
      <c r="B7" s="24" t="s">
        <v>29</v>
      </c>
      <c r="C7" s="66">
        <v>0.1</v>
      </c>
    </row>
    <row r="8" spans="2:6" x14ac:dyDescent="0.25">
      <c r="B8" s="24" t="s">
        <v>30</v>
      </c>
      <c r="C8" s="66">
        <v>0.15</v>
      </c>
    </row>
    <row r="9" spans="2:6" x14ac:dyDescent="0.25">
      <c r="B9" s="24" t="s">
        <v>31</v>
      </c>
      <c r="C9" s="66">
        <v>0.05</v>
      </c>
    </row>
    <row r="10" spans="2:6" ht="6.75" customHeight="1" x14ac:dyDescent="0.25"/>
    <row r="11" spans="2:6" x14ac:dyDescent="0.25">
      <c r="B11" s="67" t="s">
        <v>24</v>
      </c>
      <c r="C11" s="51">
        <f>Steuerung!D5</f>
        <v>900</v>
      </c>
    </row>
    <row r="12" spans="2:6" x14ac:dyDescent="0.25">
      <c r="B12" s="67" t="s">
        <v>25</v>
      </c>
      <c r="C12" s="51">
        <f>C6/C11</f>
        <v>88.888888888888886</v>
      </c>
    </row>
    <row r="13" spans="2:6" x14ac:dyDescent="0.25">
      <c r="B13" s="67" t="s">
        <v>2</v>
      </c>
      <c r="C13" s="67">
        <f>Steuerung!D6</f>
        <v>1800</v>
      </c>
    </row>
    <row r="14" spans="2:6" x14ac:dyDescent="0.25">
      <c r="B14" s="67" t="s">
        <v>26</v>
      </c>
      <c r="C14" s="67">
        <f>(C11/C13)*60</f>
        <v>30</v>
      </c>
    </row>
    <row r="15" spans="2:6" x14ac:dyDescent="0.25">
      <c r="B15" s="67" t="s">
        <v>27</v>
      </c>
      <c r="C15" s="51">
        <f>Berechnungen!H6</f>
        <v>498.47222222222217</v>
      </c>
    </row>
    <row r="16" spans="2:6" x14ac:dyDescent="0.25">
      <c r="B16" s="67" t="s">
        <v>28</v>
      </c>
      <c r="C16" s="51">
        <f>(C15*C14)/60</f>
        <v>249.23611111111106</v>
      </c>
    </row>
    <row r="17" spans="2:3" ht="6" customHeight="1" x14ac:dyDescent="0.25"/>
    <row r="18" spans="2:3" ht="15.75" x14ac:dyDescent="0.25">
      <c r="B18" s="82" t="s">
        <v>99</v>
      </c>
      <c r="C18" s="68"/>
    </row>
    <row r="19" spans="2:3" x14ac:dyDescent="0.25">
      <c r="B19" s="76"/>
      <c r="C19" s="77"/>
    </row>
    <row r="20" spans="2:3" x14ac:dyDescent="0.25">
      <c r="B20" s="71" t="s">
        <v>34</v>
      </c>
      <c r="C20" s="72">
        <f>C12</f>
        <v>88.888888888888886</v>
      </c>
    </row>
    <row r="21" spans="2:3" x14ac:dyDescent="0.25">
      <c r="B21" s="69" t="s">
        <v>33</v>
      </c>
      <c r="C21" s="70">
        <f>C20*C7</f>
        <v>8.8888888888888893</v>
      </c>
    </row>
    <row r="22" spans="2:3" x14ac:dyDescent="0.25">
      <c r="B22" s="71" t="s">
        <v>32</v>
      </c>
      <c r="C22" s="72">
        <f>C20+C21</f>
        <v>97.777777777777771</v>
      </c>
    </row>
    <row r="23" spans="2:3" x14ac:dyDescent="0.25">
      <c r="B23" s="69" t="s">
        <v>35</v>
      </c>
      <c r="C23" s="70">
        <f>C16</f>
        <v>249.23611111111106</v>
      </c>
    </row>
    <row r="24" spans="2:3" x14ac:dyDescent="0.25">
      <c r="B24" s="71" t="s">
        <v>36</v>
      </c>
      <c r="C24" s="72">
        <f>C22+C23</f>
        <v>347.0138888888888</v>
      </c>
    </row>
    <row r="25" spans="2:3" x14ac:dyDescent="0.25">
      <c r="B25" s="73" t="s">
        <v>37</v>
      </c>
      <c r="C25" s="74">
        <f>C24*C8</f>
        <v>52.052083333333321</v>
      </c>
    </row>
    <row r="26" spans="2:3" x14ac:dyDescent="0.25">
      <c r="B26" s="69" t="s">
        <v>38</v>
      </c>
      <c r="C26" s="70">
        <f>C24*C9</f>
        <v>17.350694444444439</v>
      </c>
    </row>
    <row r="27" spans="2:3" ht="15.75" x14ac:dyDescent="0.25">
      <c r="B27" s="83" t="s">
        <v>39</v>
      </c>
      <c r="C27" s="84">
        <f>C24+C25+C26</f>
        <v>416.41666666666657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Steuerung</vt:lpstr>
      <vt:lpstr>Berechnungen</vt:lpstr>
      <vt:lpstr>Soll-Ist</vt:lpstr>
      <vt:lpstr>Grafik</vt:lpstr>
      <vt:lpstr>Selbstkosten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schwindt</dc:creator>
  <cp:lastModifiedBy>schwindt</cp:lastModifiedBy>
  <dcterms:created xsi:type="dcterms:W3CDTF">2013-07-31T10:30:40Z</dcterms:created>
  <dcterms:modified xsi:type="dcterms:W3CDTF">2015-08-01T07:09:32Z</dcterms:modified>
</cp:coreProperties>
</file>